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590" windowWidth="21150" windowHeight="11415" firstSheet="1" activeTab="18"/>
  </bookViews>
  <sheets>
    <sheet name="Arkusz1" sheetId="1" state="hidden" r:id="rId1"/>
    <sheet name="strata na VAT" sheetId="2" r:id="rId2"/>
    <sheet name="VAT B2B" sheetId="3" r:id="rId3"/>
    <sheet name="VAT8%" sheetId="4" r:id="rId4"/>
    <sheet name="VAT8% i podatki" sheetId="5" r:id="rId5"/>
    <sheet name="VAT auto" sheetId="6" r:id="rId6"/>
    <sheet name="leasing a VAT auto" sheetId="7" r:id="rId7"/>
    <sheet name="VAT" sheetId="8" r:id="rId8"/>
    <sheet name="wyprzedaż" sheetId="9" state="hidden" r:id="rId9"/>
    <sheet name="wyprzedaż (2)" sheetId="10" state="hidden" r:id="rId10"/>
    <sheet name="wynik" sheetId="11" state="hidden" r:id="rId11"/>
    <sheet name="kłopoty ze stratą" sheetId="12" state="hidden" r:id="rId12"/>
    <sheet name="zakup  i sprzedaz auta" sheetId="13" state="hidden" r:id="rId13"/>
    <sheet name="leasing auta" sheetId="14" state="hidden" r:id="rId14"/>
    <sheet name="długi" sheetId="15" state="hidden" r:id="rId15"/>
    <sheet name="kredyt kontra linia" sheetId="16" state="hidden" r:id="rId16"/>
    <sheet name="CIT est" sheetId="17" state="hidden" r:id="rId17"/>
    <sheet name="inwestowanie w towar" sheetId="18" state="hidden" r:id="rId18"/>
    <sheet name="VAT Unia" sheetId="19" r:id="rId19"/>
  </sheets>
  <definedNames>
    <definedName name="_ftn1" localSheetId="0">'Arkusz1'!$A$55</definedName>
    <definedName name="_ftn1" localSheetId="8">'wyprzedaż'!$A$56</definedName>
    <definedName name="_ftn1" localSheetId="9">'wyprzedaż (2)'!$A$56</definedName>
    <definedName name="_ftnref1" localSheetId="0">'Arkusz1'!$A$22</definedName>
    <definedName name="_ftnref1" localSheetId="8">'wyprzedaż'!$A$23</definedName>
    <definedName name="_ftnref1" localSheetId="9">'wyprzedaż (2)'!$A$23</definedName>
    <definedName name="OLE_LINK1" localSheetId="0">'Arkusz1'!$A$1</definedName>
    <definedName name="OLE_LINK1" localSheetId="8">'wyprzedaż'!$A$1</definedName>
    <definedName name="OLE_LINK1" localSheetId="9">'wyprzedaż (2)'!$A$1</definedName>
  </definedNames>
  <calcPr fullCalcOnLoad="1"/>
</workbook>
</file>

<file path=xl/sharedStrings.xml><?xml version="1.0" encoding="utf-8"?>
<sst xmlns="http://schemas.openxmlformats.org/spreadsheetml/2006/main" count="610" uniqueCount="207">
  <si>
    <t>INFORMACJE FINANSOWE</t>
  </si>
  <si>
    <t>Dla podmiotów prowadzących księgę przychodów i rozchodów</t>
  </si>
  <si>
    <t>Analizowane okresy</t>
  </si>
  <si>
    <t>Przychody i rozchody</t>
  </si>
  <si>
    <t>A. Przychody ogółem</t>
  </si>
  <si>
    <t>1.  wartość sprzedanych towarów i usług</t>
  </si>
  <si>
    <t>2. pozostałe przychody</t>
  </si>
  <si>
    <t>1. Wydatki ogółem</t>
  </si>
  <si>
    <t>1a. zakup towarów handlowych i materiałów</t>
  </si>
  <si>
    <t>1b. koszty uboczne zakupu</t>
  </si>
  <si>
    <t>1c. wynagrodzenia z narzutami</t>
  </si>
  <si>
    <t>1d. pozostałe wydatki</t>
  </si>
  <si>
    <t>w tym:  amortyzacja</t>
  </si>
  <si>
    <t xml:space="preserve">  odsetki od kredytów</t>
  </si>
  <si>
    <t>2a. remanent początkowy</t>
  </si>
  <si>
    <t>2b. remanent końcowy</t>
  </si>
  <si>
    <t>C. Wynik na działalności (A-B)</t>
  </si>
  <si>
    <t>D. Składki ZUS właściciela[1]</t>
  </si>
  <si>
    <t>Majątek</t>
  </si>
  <si>
    <t>A. Majątek trwały</t>
  </si>
  <si>
    <t>1. środki trwałe</t>
  </si>
  <si>
    <t>2. inwestycje rozpoczęte</t>
  </si>
  <si>
    <t>B. Majątek obrotowy</t>
  </si>
  <si>
    <t>1. należności</t>
  </si>
  <si>
    <t>2. zapasy *</t>
  </si>
  <si>
    <t>3. środki pieniężne</t>
  </si>
  <si>
    <t>C. Majątek ogółem (A+B)</t>
  </si>
  <si>
    <t>Zobowiązania i inne pasywa</t>
  </si>
  <si>
    <t>D. Zobowiązania bieżące bez kredytów</t>
  </si>
  <si>
    <t>E. Kredyty i pożyczki krótkoterminowe</t>
  </si>
  <si>
    <t>F. Zobowiązania długoterminowe bez kredytów</t>
  </si>
  <si>
    <t>G. Kredyty i pożyczki długoterminowe</t>
  </si>
  <si>
    <r>
      <t xml:space="preserve">H. Zobowiązania i inne pasywa ogółem </t>
    </r>
    <r>
      <rPr>
        <sz val="9"/>
        <rFont val="Times New Roman"/>
        <family val="1"/>
      </rPr>
      <t>(D+E+F+G)</t>
    </r>
  </si>
  <si>
    <t xml:space="preserve">[1] Składki ZUS właściciela na ubezpieczenia społeczne. </t>
  </si>
  <si>
    <t>TEST TEST</t>
  </si>
  <si>
    <t>B. Koszt uzyskania przychodu</t>
  </si>
  <si>
    <t>2. Saldo zmiany zapasów</t>
  </si>
  <si>
    <t>E. Dochód brutto</t>
  </si>
  <si>
    <t>paliwo</t>
  </si>
  <si>
    <t>WYNIK bez Różnicy remanentów</t>
  </si>
  <si>
    <t>rok</t>
  </si>
  <si>
    <t>wpływ</t>
  </si>
  <si>
    <t>wydatek</t>
  </si>
  <si>
    <t>przychody</t>
  </si>
  <si>
    <t>koszty</t>
  </si>
  <si>
    <t>inwestycja w remont</t>
  </si>
  <si>
    <t>zakup towarów</t>
  </si>
  <si>
    <t>koszty zakupu towarów</t>
  </si>
  <si>
    <t>koszty najmu</t>
  </si>
  <si>
    <t>telefony</t>
  </si>
  <si>
    <t>energia</t>
  </si>
  <si>
    <t>pozostałe wydatki</t>
  </si>
  <si>
    <t>RAZEM</t>
  </si>
  <si>
    <t>kapitał 120000/24</t>
  </si>
  <si>
    <t>wynagrodzenie dla prowadzącego</t>
  </si>
  <si>
    <t>WYNIK</t>
  </si>
  <si>
    <t>kapitał 120000/60</t>
  </si>
  <si>
    <t>dochód</t>
  </si>
  <si>
    <t>przychód</t>
  </si>
  <si>
    <t>odliczenia - dane w przybliżeniu:</t>
  </si>
  <si>
    <t>kwota wolna od podatku</t>
  </si>
  <si>
    <t>ZUS społeczne i FP</t>
  </si>
  <si>
    <t>wynik po odjęciu odliczeń od dochodu</t>
  </si>
  <si>
    <t>dzieci 2*1100</t>
  </si>
  <si>
    <t>odliczenia od dochodu:</t>
  </si>
  <si>
    <t>odliczenia od podatku razem</t>
  </si>
  <si>
    <t>podatek do zapłaty</t>
  </si>
  <si>
    <t>zakup samochodu</t>
  </si>
  <si>
    <t>leasing</t>
  </si>
  <si>
    <t>gotówka/kredyt</t>
  </si>
  <si>
    <t>leasing dwa lata I rok</t>
  </si>
  <si>
    <t>amortyzacja</t>
  </si>
  <si>
    <t>I wpłata 40% w grudniu</t>
  </si>
  <si>
    <t>I rok</t>
  </si>
  <si>
    <t>II rok</t>
  </si>
  <si>
    <t>III rok</t>
  </si>
  <si>
    <t>IV rok</t>
  </si>
  <si>
    <t>V rok</t>
  </si>
  <si>
    <t>wartośc auta w ksiegach na koniec V roku</t>
  </si>
  <si>
    <t>razem koszty</t>
  </si>
  <si>
    <t>VAT odliczony</t>
  </si>
  <si>
    <t>wartość netto aurta w kosztach</t>
  </si>
  <si>
    <t>maxymalna wartość do amortyzacji 20ts Euro</t>
  </si>
  <si>
    <t>%</t>
  </si>
  <si>
    <t>VAT Unia</t>
  </si>
  <si>
    <t>pożyczka</t>
  </si>
  <si>
    <t>okres  spłaty /msc</t>
  </si>
  <si>
    <t>koszty miesieczne</t>
  </si>
  <si>
    <t>rata kapitałowa</t>
  </si>
  <si>
    <t>razem spłata</t>
  </si>
  <si>
    <t>suma</t>
  </si>
  <si>
    <t>linia kredytowa kontra kredyt inwestycyjny</t>
  </si>
  <si>
    <t>linia</t>
  </si>
  <si>
    <t>saldo konta</t>
  </si>
  <si>
    <t>kredyt 24msc</t>
  </si>
  <si>
    <t>wolne środki</t>
  </si>
  <si>
    <t>odsetki 12%</t>
  </si>
  <si>
    <t>załozenia: dochód firmy 72tys rocznie, generowana spłata maksymalna 36tys rocznie</t>
  </si>
  <si>
    <t>decyzja</t>
  </si>
  <si>
    <t>wypłata</t>
  </si>
  <si>
    <t>SUMA za rok</t>
  </si>
  <si>
    <t>pozostaje w firmie</t>
  </si>
  <si>
    <t>lepszy kredyt inwestycyjny czy pożyczki gotówkowe</t>
  </si>
  <si>
    <t>sprzedaż po 3 latach</t>
  </si>
  <si>
    <t>dochodowy</t>
  </si>
  <si>
    <t>kalkulacja:</t>
  </si>
  <si>
    <t>VAT do zapłaty</t>
  </si>
  <si>
    <t>podatek odliczony</t>
  </si>
  <si>
    <t>zakup z kosztem leasingu</t>
  </si>
  <si>
    <t>w tym koszt leasingu</t>
  </si>
  <si>
    <t>sprzedaż netto</t>
  </si>
  <si>
    <t>koszt</t>
  </si>
  <si>
    <t>zyski</t>
  </si>
  <si>
    <t>wynik na aucie</t>
  </si>
  <si>
    <t>tyle musze zapąłcić za posiadanie tego auta jeśli po okresie leasingu go sprzedam</t>
  </si>
  <si>
    <t>wartośc samochodu samochodu z leasing</t>
  </si>
  <si>
    <t>wartość netto auta w kosztach</t>
  </si>
  <si>
    <t>wynik na działalności</t>
  </si>
  <si>
    <t>leasing a VAT:</t>
  </si>
  <si>
    <t>wykup 30%</t>
  </si>
  <si>
    <t>wykup 1%</t>
  </si>
  <si>
    <t xml:space="preserve">wartość auta netto </t>
  </si>
  <si>
    <t>VAT 23%</t>
  </si>
  <si>
    <t>odliczony VAT 50% od wartości rat</t>
  </si>
  <si>
    <t>odliczony VAT 50% od opłaty wstępnej</t>
  </si>
  <si>
    <t>opłata wstepna 40%</t>
  </si>
  <si>
    <t>sprzedaż</t>
  </si>
  <si>
    <t>VAT od sprzedaży</t>
  </si>
  <si>
    <t>wynik na VAT</t>
  </si>
  <si>
    <t>odliczony cały VAT  od wykupu</t>
  </si>
  <si>
    <t>suma VAT odliczonego</t>
  </si>
  <si>
    <t>darowizna od babci</t>
  </si>
  <si>
    <t>rezerwa na inwestycje</t>
  </si>
  <si>
    <t>odsetki 1% miesiecznie</t>
  </si>
  <si>
    <t>WYNIK podatkowy</t>
  </si>
  <si>
    <t>WYNIK PODATKOWY</t>
  </si>
  <si>
    <t>WYNIK w KASIE</t>
  </si>
  <si>
    <t>NA KONIEC ROKU</t>
  </si>
  <si>
    <t>grudzień</t>
  </si>
  <si>
    <t>listopad</t>
  </si>
  <si>
    <t>wrzesień</t>
  </si>
  <si>
    <t>październik</t>
  </si>
  <si>
    <t xml:space="preserve">pozyczka od teściowej 2 lata, 12% </t>
  </si>
  <si>
    <t>pozyczka od teściowej 5 lat, 12%</t>
  </si>
  <si>
    <t>pozyczka 5 lat, 12% rocznie</t>
  </si>
  <si>
    <t>przychody z działalności</t>
  </si>
  <si>
    <t>pozostaje na magazynie</t>
  </si>
  <si>
    <t>ZERO</t>
  </si>
  <si>
    <t>VAT</t>
  </si>
  <si>
    <t>odsetki</t>
  </si>
  <si>
    <t>do zapłaty!</t>
  </si>
  <si>
    <t>przychody z działalności sierpień</t>
  </si>
  <si>
    <t>brutto</t>
  </si>
  <si>
    <t>ZUS</t>
  </si>
  <si>
    <t>sp z o.o. JDG</t>
  </si>
  <si>
    <t>tak</t>
  </si>
  <si>
    <t>nie</t>
  </si>
  <si>
    <t>Odpowiedzialność pełna</t>
  </si>
  <si>
    <t>Rozliczenie – KPiR lub inne proste</t>
  </si>
  <si>
    <t>opodatkowanie zysków</t>
  </si>
  <si>
    <t xml:space="preserve">nie </t>
  </si>
  <si>
    <t>opodatkowanie wypłat</t>
  </si>
  <si>
    <t>Elastyczność obrotu gotówką – bardzo duża</t>
  </si>
  <si>
    <t xml:space="preserve"> niskie koszty prowadzenia księgowość, sprawozdawczość</t>
  </si>
  <si>
    <t>zakup</t>
  </si>
  <si>
    <t>zysk</t>
  </si>
  <si>
    <t>podatek</t>
  </si>
  <si>
    <t>inwetsujemy podatek:</t>
  </si>
  <si>
    <t>podatek 17%</t>
  </si>
  <si>
    <t>zdrowotne 312*12</t>
  </si>
  <si>
    <t>WYNIK na podatku</t>
  </si>
  <si>
    <t>WYNIK na podatku 19%</t>
  </si>
  <si>
    <t xml:space="preserve">netto </t>
  </si>
  <si>
    <t>% VAT</t>
  </si>
  <si>
    <t>przychody VAT 8%</t>
  </si>
  <si>
    <t>koszty:</t>
  </si>
  <si>
    <t>pozostałe</t>
  </si>
  <si>
    <t>ZW</t>
  </si>
  <si>
    <t>vat do odliczenia razem</t>
  </si>
  <si>
    <t>VAT zysk</t>
  </si>
  <si>
    <t>suma koszty</t>
  </si>
  <si>
    <t>kwota VAT</t>
  </si>
  <si>
    <t>VAT 8%</t>
  </si>
  <si>
    <t>odliczony VAT 50%</t>
  </si>
  <si>
    <t>sprzedaż po 5 latach</t>
  </si>
  <si>
    <t>korekta VAT</t>
  </si>
  <si>
    <t>wynagrodzenia</t>
  </si>
  <si>
    <t>materiały</t>
  </si>
  <si>
    <t>ZYSK</t>
  </si>
  <si>
    <t>ZYSK skumulowany</t>
  </si>
  <si>
    <t>tutaj będzie 8% VAT</t>
  </si>
  <si>
    <t>bez materiałow</t>
  </si>
  <si>
    <t>klient placi 27000</t>
  </si>
  <si>
    <t>klient placi</t>
  </si>
  <si>
    <t>PIT 19% + zdrowotna 4.9</t>
  </si>
  <si>
    <t>ryczałt + zdrowotna (518zł do 300tys.)</t>
  </si>
  <si>
    <t>5000 pln</t>
  </si>
  <si>
    <t>1€=4,70</t>
  </si>
  <si>
    <t>klient płaci więcej, my zarabiamy mniej.</t>
  </si>
  <si>
    <t>dane</t>
  </si>
  <si>
    <t>wartośc usługi</t>
  </si>
  <si>
    <t>koszty vatowskie</t>
  </si>
  <si>
    <t>koszty nievatowskie</t>
  </si>
  <si>
    <t>wartośc zakupu towaru na 23% klienta</t>
  </si>
  <si>
    <t>wartośc zakupu towaru na 23% my kupujemy</t>
  </si>
  <si>
    <t>materiały klienta</t>
  </si>
  <si>
    <t>materiały nasze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</si>
</sst>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  <numFmt numFmtId="169" formatCode="#,##0.00_ ;\-#,##0.00\ "/>
    <numFmt numFmtId="170" formatCode="0.00_ ;[Red]\-0.00\ "/>
    <numFmt numFmtId="171" formatCode="[$-415]d\ mmmm\ yyyy"/>
    <numFmt numFmtId="172" formatCode="#,##0_ ;[Red]\-#,##0\ "/>
    <numFmt numFmtId="173" formatCode="[$-415]mmmmm;@"/>
    <numFmt numFmtId="174" formatCode="_-* #,##0.000\ _z_ł_-;\-* #,##0.000\ _z_ł_-;_-* &quot;-&quot;???\ _z_ł_-;_-@_-"/>
    <numFmt numFmtId="175" formatCode="#,##0\ [$€-1];[Red]\-#,##0\ [$€-1]"/>
  </numFmts>
  <fonts count="90">
    <font>
      <sz val="10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i/>
      <sz val="9"/>
      <name val="Arial"/>
      <family val="2"/>
    </font>
    <font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.5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  <font>
      <sz val="16"/>
      <color indexed="30"/>
      <name val="Arial"/>
      <family val="2"/>
    </font>
    <font>
      <sz val="12"/>
      <color indexed="30"/>
      <name val="Arial"/>
      <family val="2"/>
    </font>
    <font>
      <b/>
      <sz val="12"/>
      <color indexed="10"/>
      <name val="Arial"/>
      <family val="2"/>
    </font>
    <font>
      <sz val="16"/>
      <color indexed="17"/>
      <name val="Arial"/>
      <family val="2"/>
    </font>
    <font>
      <sz val="10"/>
      <color indexed="10"/>
      <name val="Arial"/>
      <family val="2"/>
    </font>
    <font>
      <b/>
      <sz val="16"/>
      <color indexed="17"/>
      <name val="Arial"/>
      <family val="2"/>
    </font>
    <font>
      <sz val="16"/>
      <color indexed="10"/>
      <name val="Arial"/>
      <family val="2"/>
    </font>
    <font>
      <sz val="13.5"/>
      <color indexed="8"/>
      <name val="Calibri"/>
      <family val="2"/>
    </font>
    <font>
      <sz val="12"/>
      <color indexed="10"/>
      <name val="Arial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6"/>
      <color indexed="10"/>
      <name val="Times New Roman"/>
      <family val="1"/>
    </font>
    <font>
      <sz val="10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B050"/>
      <name val="Arial"/>
      <family val="2"/>
    </font>
    <font>
      <sz val="10"/>
      <color rgb="FF00B050"/>
      <name val="Arial"/>
      <family val="2"/>
    </font>
    <font>
      <sz val="16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FF0000"/>
      <name val="Arial"/>
      <family val="2"/>
    </font>
    <font>
      <sz val="16"/>
      <color rgb="FF00B050"/>
      <name val="Arial"/>
      <family val="2"/>
    </font>
    <font>
      <b/>
      <sz val="16"/>
      <color rgb="FF00B050"/>
      <name val="Arial"/>
      <family val="2"/>
    </font>
    <font>
      <sz val="16"/>
      <color rgb="FFFF0000"/>
      <name val="Arial"/>
      <family val="2"/>
    </font>
    <font>
      <sz val="13.5"/>
      <color rgb="FF000000"/>
      <name val="Calibri"/>
      <family val="2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theme="3" tint="0.399980008602142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gray125">
        <bgColor indexed="22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wrapText="1"/>
    </xf>
    <xf numFmtId="0" fontId="5" fillId="0" borderId="13" xfId="0" applyFont="1" applyBorder="1" applyAlignment="1">
      <alignment wrapText="1"/>
    </xf>
    <xf numFmtId="0" fontId="8" fillId="0" borderId="0" xfId="44" applyAlignment="1" applyProtection="1">
      <alignment/>
      <protection/>
    </xf>
    <xf numFmtId="4" fontId="0" fillId="0" borderId="0" xfId="0" applyNumberFormat="1" applyAlignment="1">
      <alignment/>
    </xf>
    <xf numFmtId="4" fontId="1" fillId="0" borderId="14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168" fontId="0" fillId="0" borderId="0" xfId="0" applyNumberFormat="1" applyAlignment="1">
      <alignment/>
    </xf>
    <xf numFmtId="168" fontId="0" fillId="0" borderId="15" xfId="0" applyNumberFormat="1" applyBorder="1" applyAlignment="1">
      <alignment/>
    </xf>
    <xf numFmtId="0" fontId="10" fillId="0" borderId="0" xfId="0" applyFont="1" applyAlignment="1">
      <alignment/>
    </xf>
    <xf numFmtId="43" fontId="10" fillId="0" borderId="0" xfId="42" applyFont="1" applyAlignment="1">
      <alignment/>
    </xf>
    <xf numFmtId="43" fontId="10" fillId="0" borderId="15" xfId="42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3" fontId="10" fillId="0" borderId="20" xfId="42" applyFont="1" applyBorder="1" applyAlignment="1">
      <alignment/>
    </xf>
    <xf numFmtId="168" fontId="10" fillId="0" borderId="20" xfId="42" applyNumberFormat="1" applyFont="1" applyBorder="1" applyAlignment="1">
      <alignment/>
    </xf>
    <xf numFmtId="168" fontId="11" fillId="0" borderId="21" xfId="42" applyNumberFormat="1" applyFont="1" applyBorder="1" applyAlignment="1">
      <alignment/>
    </xf>
    <xf numFmtId="0" fontId="11" fillId="0" borderId="22" xfId="0" applyFont="1" applyBorder="1" applyAlignment="1">
      <alignment/>
    </xf>
    <xf numFmtId="43" fontId="11" fillId="0" borderId="23" xfId="42" applyFont="1" applyBorder="1" applyAlignment="1">
      <alignment/>
    </xf>
    <xf numFmtId="0" fontId="12" fillId="0" borderId="0" xfId="0" applyFont="1" applyAlignment="1">
      <alignment/>
    </xf>
    <xf numFmtId="4" fontId="0" fillId="0" borderId="15" xfId="0" applyNumberFormat="1" applyBorder="1" applyAlignment="1">
      <alignment/>
    </xf>
    <xf numFmtId="4" fontId="12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12" fillId="0" borderId="19" xfId="0" applyFont="1" applyBorder="1" applyAlignment="1">
      <alignment horizontal="right"/>
    </xf>
    <xf numFmtId="4" fontId="12" fillId="0" borderId="20" xfId="0" applyNumberFormat="1" applyFont="1" applyBorder="1" applyAlignment="1">
      <alignment/>
    </xf>
    <xf numFmtId="0" fontId="13" fillId="0" borderId="22" xfId="0" applyFont="1" applyBorder="1" applyAlignment="1">
      <alignment/>
    </xf>
    <xf numFmtId="4" fontId="13" fillId="0" borderId="23" xfId="0" applyNumberFormat="1" applyFont="1" applyBorder="1" applyAlignment="1">
      <alignment/>
    </xf>
    <xf numFmtId="4" fontId="13" fillId="0" borderId="21" xfId="0" applyNumberFormat="1" applyFont="1" applyBorder="1" applyAlignment="1">
      <alignment/>
    </xf>
    <xf numFmtId="4" fontId="13" fillId="0" borderId="20" xfId="0" applyNumberFormat="1" applyFont="1" applyBorder="1" applyAlignment="1">
      <alignment/>
    </xf>
    <xf numFmtId="169" fontId="10" fillId="0" borderId="15" xfId="42" applyNumberFormat="1" applyFont="1" applyBorder="1" applyAlignment="1">
      <alignment/>
    </xf>
    <xf numFmtId="169" fontId="10" fillId="0" borderId="20" xfId="42" applyNumberFormat="1" applyFont="1" applyBorder="1" applyAlignment="1">
      <alignment/>
    </xf>
    <xf numFmtId="0" fontId="10" fillId="0" borderId="24" xfId="0" applyFont="1" applyBorder="1" applyAlignment="1">
      <alignment/>
    </xf>
    <xf numFmtId="43" fontId="10" fillId="0" borderId="25" xfId="0" applyNumberFormat="1" applyFont="1" applyBorder="1" applyAlignment="1">
      <alignment/>
    </xf>
    <xf numFmtId="43" fontId="10" fillId="0" borderId="26" xfId="42" applyFont="1" applyBorder="1" applyAlignment="1">
      <alignment/>
    </xf>
    <xf numFmtId="170" fontId="0" fillId="0" borderId="0" xfId="0" applyNumberForma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68" fontId="13" fillId="0" borderId="0" xfId="0" applyNumberFormat="1" applyFont="1" applyAlignment="1">
      <alignment/>
    </xf>
    <xf numFmtId="0" fontId="13" fillId="0" borderId="15" xfId="0" applyFont="1" applyBorder="1" applyAlignment="1">
      <alignment/>
    </xf>
    <xf numFmtId="168" fontId="13" fillId="0" borderId="15" xfId="0" applyNumberFormat="1" applyFont="1" applyBorder="1" applyAlignment="1">
      <alignment/>
    </xf>
    <xf numFmtId="9" fontId="13" fillId="0" borderId="15" xfId="0" applyNumberFormat="1" applyFont="1" applyBorder="1" applyAlignment="1">
      <alignment/>
    </xf>
    <xf numFmtId="172" fontId="13" fillId="0" borderId="15" xfId="0" applyNumberFormat="1" applyFont="1" applyBorder="1" applyAlignment="1">
      <alignment/>
    </xf>
    <xf numFmtId="0" fontId="14" fillId="0" borderId="27" xfId="0" applyFont="1" applyBorder="1" applyAlignment="1">
      <alignment/>
    </xf>
    <xf numFmtId="168" fontId="14" fillId="0" borderId="28" xfId="0" applyNumberFormat="1" applyFont="1" applyBorder="1" applyAlignment="1">
      <alignment/>
    </xf>
    <xf numFmtId="168" fontId="14" fillId="0" borderId="10" xfId="0" applyNumberFormat="1" applyFont="1" applyBorder="1" applyAlignment="1">
      <alignment/>
    </xf>
    <xf numFmtId="168" fontId="13" fillId="0" borderId="26" xfId="0" applyNumberFormat="1" applyFont="1" applyBorder="1" applyAlignment="1">
      <alignment/>
    </xf>
    <xf numFmtId="9" fontId="13" fillId="0" borderId="26" xfId="0" applyNumberFormat="1" applyFont="1" applyBorder="1" applyAlignment="1">
      <alignment/>
    </xf>
    <xf numFmtId="172" fontId="13" fillId="0" borderId="26" xfId="0" applyNumberFormat="1" applyFont="1" applyBorder="1" applyAlignment="1">
      <alignment/>
    </xf>
    <xf numFmtId="168" fontId="14" fillId="0" borderId="29" xfId="0" applyNumberFormat="1" applyFont="1" applyBorder="1" applyAlignment="1">
      <alignment/>
    </xf>
    <xf numFmtId="9" fontId="13" fillId="0" borderId="29" xfId="0" applyNumberFormat="1" applyFont="1" applyBorder="1" applyAlignment="1">
      <alignment/>
    </xf>
    <xf numFmtId="172" fontId="13" fillId="0" borderId="29" xfId="0" applyNumberFormat="1" applyFont="1" applyBorder="1" applyAlignment="1">
      <alignment/>
    </xf>
    <xf numFmtId="168" fontId="13" fillId="0" borderId="29" xfId="0" applyNumberFormat="1" applyFont="1" applyBorder="1" applyAlignment="1">
      <alignment/>
    </xf>
    <xf numFmtId="168" fontId="13" fillId="0" borderId="30" xfId="0" applyNumberFormat="1" applyFont="1" applyBorder="1" applyAlignment="1">
      <alignment/>
    </xf>
    <xf numFmtId="168" fontId="14" fillId="0" borderId="31" xfId="0" applyNumberFormat="1" applyFont="1" applyBorder="1" applyAlignment="1">
      <alignment/>
    </xf>
    <xf numFmtId="9" fontId="13" fillId="0" borderId="31" xfId="0" applyNumberFormat="1" applyFont="1" applyBorder="1" applyAlignment="1">
      <alignment/>
    </xf>
    <xf numFmtId="172" fontId="13" fillId="0" borderId="31" xfId="0" applyNumberFormat="1" applyFont="1" applyBorder="1" applyAlignment="1">
      <alignment/>
    </xf>
    <xf numFmtId="168" fontId="13" fillId="0" borderId="31" xfId="0" applyNumberFormat="1" applyFont="1" applyBorder="1" applyAlignment="1">
      <alignment/>
    </xf>
    <xf numFmtId="168" fontId="14" fillId="0" borderId="32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168" fontId="12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43" fontId="0" fillId="0" borderId="0" xfId="0" applyNumberFormat="1" applyAlignment="1">
      <alignment/>
    </xf>
    <xf numFmtId="0" fontId="73" fillId="0" borderId="19" xfId="0" applyFont="1" applyBorder="1" applyAlignment="1">
      <alignment/>
    </xf>
    <xf numFmtId="43" fontId="73" fillId="0" borderId="15" xfId="42" applyFont="1" applyBorder="1" applyAlignment="1">
      <alignment/>
    </xf>
    <xf numFmtId="43" fontId="73" fillId="0" borderId="20" xfId="42" applyFont="1" applyBorder="1" applyAlignment="1">
      <alignment/>
    </xf>
    <xf numFmtId="43" fontId="73" fillId="0" borderId="0" xfId="42" applyFont="1" applyAlignment="1">
      <alignment/>
    </xf>
    <xf numFmtId="0" fontId="74" fillId="0" borderId="0" xfId="0" applyFont="1" applyAlignment="1">
      <alignment/>
    </xf>
    <xf numFmtId="43" fontId="10" fillId="0" borderId="25" xfId="42" applyFont="1" applyBorder="1" applyAlignment="1">
      <alignment/>
    </xf>
    <xf numFmtId="43" fontId="10" fillId="0" borderId="33" xfId="42" applyFont="1" applyBorder="1" applyAlignment="1">
      <alignment/>
    </xf>
    <xf numFmtId="0" fontId="10" fillId="0" borderId="34" xfId="0" applyFont="1" applyBorder="1" applyAlignment="1">
      <alignment/>
    </xf>
    <xf numFmtId="43" fontId="10" fillId="0" borderId="35" xfId="42" applyFont="1" applyBorder="1" applyAlignment="1">
      <alignment/>
    </xf>
    <xf numFmtId="43" fontId="10" fillId="0" borderId="36" xfId="42" applyFont="1" applyBorder="1" applyAlignment="1">
      <alignment/>
    </xf>
    <xf numFmtId="43" fontId="75" fillId="0" borderId="20" xfId="42" applyFont="1" applyBorder="1" applyAlignment="1">
      <alignment horizontal="right"/>
    </xf>
    <xf numFmtId="0" fontId="76" fillId="0" borderId="24" xfId="0" applyFont="1" applyBorder="1" applyAlignment="1">
      <alignment/>
    </xf>
    <xf numFmtId="0" fontId="11" fillId="0" borderId="0" xfId="0" applyFont="1" applyBorder="1" applyAlignment="1">
      <alignment/>
    </xf>
    <xf numFmtId="43" fontId="11" fillId="0" borderId="0" xfId="42" applyFont="1" applyBorder="1" applyAlignment="1">
      <alignment/>
    </xf>
    <xf numFmtId="168" fontId="11" fillId="0" borderId="0" xfId="42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43" fontId="14" fillId="0" borderId="0" xfId="42" applyFont="1" applyBorder="1" applyAlignment="1">
      <alignment/>
    </xf>
    <xf numFmtId="43" fontId="11" fillId="0" borderId="0" xfId="42" applyFont="1" applyBorder="1" applyAlignment="1">
      <alignment horizontal="right"/>
    </xf>
    <xf numFmtId="168" fontId="11" fillId="0" borderId="0" xfId="42" applyNumberFormat="1" applyFont="1" applyBorder="1" applyAlignment="1">
      <alignment horizontal="right"/>
    </xf>
    <xf numFmtId="4" fontId="11" fillId="0" borderId="0" xfId="0" applyNumberFormat="1" applyFont="1" applyAlignment="1">
      <alignment horizontal="right"/>
    </xf>
    <xf numFmtId="43" fontId="14" fillId="0" borderId="0" xfId="42" applyFont="1" applyBorder="1" applyAlignment="1">
      <alignment horizontal="right"/>
    </xf>
    <xf numFmtId="43" fontId="77" fillId="0" borderId="0" xfId="42" applyFont="1" applyFill="1" applyBorder="1" applyAlignment="1">
      <alignment horizontal="right"/>
    </xf>
    <xf numFmtId="43" fontId="14" fillId="0" borderId="0" xfId="0" applyNumberFormat="1" applyFont="1" applyAlignment="1">
      <alignment horizontal="right"/>
    </xf>
    <xf numFmtId="0" fontId="10" fillId="0" borderId="37" xfId="0" applyFont="1" applyBorder="1" applyAlignment="1">
      <alignment/>
    </xf>
    <xf numFmtId="43" fontId="10" fillId="0" borderId="38" xfId="42" applyFont="1" applyBorder="1" applyAlignment="1">
      <alignment/>
    </xf>
    <xf numFmtId="43" fontId="10" fillId="0" borderId="39" xfId="42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6" xfId="0" applyFont="1" applyBorder="1" applyAlignment="1">
      <alignment/>
    </xf>
    <xf numFmtId="0" fontId="10" fillId="0" borderId="15" xfId="0" applyFont="1" applyBorder="1" applyAlignment="1">
      <alignment/>
    </xf>
    <xf numFmtId="43" fontId="10" fillId="33" borderId="15" xfId="42" applyFont="1" applyFill="1" applyBorder="1" applyAlignment="1">
      <alignment/>
    </xf>
    <xf numFmtId="43" fontId="10" fillId="33" borderId="38" xfId="42" applyFont="1" applyFill="1" applyBorder="1" applyAlignment="1">
      <alignment/>
    </xf>
    <xf numFmtId="43" fontId="10" fillId="33" borderId="35" xfId="42" applyFont="1" applyFill="1" applyBorder="1" applyAlignment="1">
      <alignment/>
    </xf>
    <xf numFmtId="43" fontId="10" fillId="33" borderId="25" xfId="42" applyFont="1" applyFill="1" applyBorder="1" applyAlignment="1">
      <alignment/>
    </xf>
    <xf numFmtId="43" fontId="10" fillId="34" borderId="20" xfId="42" applyFont="1" applyFill="1" applyBorder="1" applyAlignment="1">
      <alignment/>
    </xf>
    <xf numFmtId="43" fontId="10" fillId="34" borderId="39" xfId="42" applyFont="1" applyFill="1" applyBorder="1" applyAlignment="1">
      <alignment/>
    </xf>
    <xf numFmtId="43" fontId="10" fillId="34" borderId="36" xfId="42" applyFont="1" applyFill="1" applyBorder="1" applyAlignment="1">
      <alignment/>
    </xf>
    <xf numFmtId="43" fontId="10" fillId="34" borderId="33" xfId="42" applyFont="1" applyFill="1" applyBorder="1" applyAlignment="1">
      <alignment/>
    </xf>
    <xf numFmtId="0" fontId="10" fillId="7" borderId="19" xfId="0" applyFont="1" applyFill="1" applyBorder="1" applyAlignment="1">
      <alignment/>
    </xf>
    <xf numFmtId="43" fontId="78" fillId="0" borderId="20" xfId="42" applyFont="1" applyBorder="1" applyAlignment="1">
      <alignment/>
    </xf>
    <xf numFmtId="168" fontId="79" fillId="0" borderId="21" xfId="42" applyNumberFormat="1" applyFont="1" applyBorder="1" applyAlignment="1">
      <alignment/>
    </xf>
    <xf numFmtId="43" fontId="80" fillId="0" borderId="20" xfId="42" applyFont="1" applyBorder="1" applyAlignment="1">
      <alignment/>
    </xf>
    <xf numFmtId="0" fontId="10" fillId="0" borderId="40" xfId="0" applyFont="1" applyBorder="1" applyAlignment="1">
      <alignment/>
    </xf>
    <xf numFmtId="0" fontId="15" fillId="0" borderId="0" xfId="0" applyFont="1" applyAlignment="1">
      <alignment horizontal="left" vertical="center" indent="1" readingOrder="1"/>
    </xf>
    <xf numFmtId="0" fontId="81" fillId="0" borderId="0" xfId="0" applyFont="1" applyAlignment="1">
      <alignment horizontal="left" vertical="center" indent="1" readingOrder="1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right"/>
    </xf>
    <xf numFmtId="43" fontId="82" fillId="0" borderId="20" xfId="42" applyFont="1" applyBorder="1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" fillId="0" borderId="28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right" wrapText="1"/>
    </xf>
    <xf numFmtId="0" fontId="6" fillId="0" borderId="4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1" fillId="35" borderId="14" xfId="0" applyFont="1" applyFill="1" applyBorder="1" applyAlignment="1">
      <alignment horizontal="left" vertical="top" wrapText="1" indent="1"/>
    </xf>
    <xf numFmtId="0" fontId="1" fillId="35" borderId="41" xfId="0" applyFont="1" applyFill="1" applyBorder="1" applyAlignment="1">
      <alignment horizontal="left" vertical="top" wrapText="1" indent="1"/>
    </xf>
    <xf numFmtId="0" fontId="1" fillId="35" borderId="11" xfId="0" applyFont="1" applyFill="1" applyBorder="1" applyAlignment="1">
      <alignment horizontal="left" vertical="top" wrapText="1" indent="1"/>
    </xf>
    <xf numFmtId="4" fontId="1" fillId="0" borderId="14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left" vertical="top" wrapText="1" indent="1"/>
    </xf>
    <xf numFmtId="0" fontId="1" fillId="0" borderId="41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wrapText="1" indent="1"/>
    </xf>
    <xf numFmtId="0" fontId="8" fillId="35" borderId="14" xfId="44" applyFill="1" applyBorder="1" applyAlignment="1" applyProtection="1">
      <alignment horizontal="left" vertical="top" wrapText="1" indent="1"/>
      <protection/>
    </xf>
    <xf numFmtId="0" fontId="8" fillId="35" borderId="41" xfId="44" applyFill="1" applyBorder="1" applyAlignment="1" applyProtection="1">
      <alignment horizontal="left" vertical="top" wrapText="1" indent="1"/>
      <protection/>
    </xf>
    <xf numFmtId="0" fontId="8" fillId="35" borderId="11" xfId="44" applyFill="1" applyBorder="1" applyAlignment="1" applyProtection="1">
      <alignment horizontal="left" vertical="top" wrapText="1" indent="1"/>
      <protection/>
    </xf>
    <xf numFmtId="0" fontId="7" fillId="0" borderId="4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right" vertical="top" wrapText="1" indent="1"/>
    </xf>
    <xf numFmtId="0" fontId="6" fillId="0" borderId="41" xfId="0" applyFont="1" applyBorder="1" applyAlignment="1">
      <alignment horizontal="right" vertical="top" wrapText="1" indent="1"/>
    </xf>
    <xf numFmtId="0" fontId="6" fillId="0" borderId="11" xfId="0" applyFont="1" applyBorder="1" applyAlignment="1">
      <alignment horizontal="right" vertical="top" wrapText="1" indent="1"/>
    </xf>
    <xf numFmtId="0" fontId="3" fillId="0" borderId="14" xfId="0" applyFont="1" applyBorder="1" applyAlignment="1">
      <alignment horizontal="left" vertical="top" wrapText="1" indent="1"/>
    </xf>
    <xf numFmtId="0" fontId="3" fillId="0" borderId="4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left" vertical="top" wrapText="1" indent="1"/>
    </xf>
    <xf numFmtId="0" fontId="1" fillId="0" borderId="42" xfId="0" applyFont="1" applyBorder="1" applyAlignment="1">
      <alignment horizontal="justify" vertical="top" wrapText="1"/>
    </xf>
    <xf numFmtId="0" fontId="1" fillId="0" borderId="14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5" fillId="0" borderId="42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5" fillId="0" borderId="43" xfId="0" applyFont="1" applyBorder="1" applyAlignment="1">
      <alignment vertical="top" wrapText="1"/>
    </xf>
    <xf numFmtId="0" fontId="5" fillId="0" borderId="44" xfId="0" applyFont="1" applyBorder="1" applyAlignment="1">
      <alignment vertical="top" wrapText="1"/>
    </xf>
    <xf numFmtId="0" fontId="5" fillId="0" borderId="45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83" fillId="0" borderId="14" xfId="0" applyNumberFormat="1" applyFont="1" applyBorder="1" applyAlignment="1">
      <alignment horizontal="right" vertical="top" wrapText="1"/>
    </xf>
    <xf numFmtId="4" fontId="83" fillId="0" borderId="11" xfId="0" applyNumberFormat="1" applyFont="1" applyBorder="1" applyAlignment="1">
      <alignment horizontal="right" vertical="top" wrapText="1"/>
    </xf>
    <xf numFmtId="44" fontId="84" fillId="0" borderId="0" xfId="0" applyNumberFormat="1" applyFont="1" applyAlignment="1" applyProtection="1">
      <alignment/>
      <protection/>
    </xf>
    <xf numFmtId="0" fontId="8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4" fontId="85" fillId="0" borderId="0" xfId="0" applyNumberFormat="1" applyFont="1" applyAlignment="1" applyProtection="1">
      <alignment/>
      <protection locked="0"/>
    </xf>
    <xf numFmtId="44" fontId="85" fillId="0" borderId="0" xfId="0" applyNumberFormat="1" applyFont="1" applyAlignment="1" applyProtection="1">
      <alignment/>
      <protection/>
    </xf>
    <xf numFmtId="0" fontId="10" fillId="0" borderId="16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/>
      <protection locked="0"/>
    </xf>
    <xf numFmtId="43" fontId="10" fillId="0" borderId="15" xfId="42" applyFont="1" applyBorder="1" applyAlignment="1" applyProtection="1">
      <alignment/>
      <protection locked="0"/>
    </xf>
    <xf numFmtId="43" fontId="10" fillId="0" borderId="20" xfId="42" applyFont="1" applyBorder="1" applyAlignment="1" applyProtection="1">
      <alignment/>
      <protection locked="0"/>
    </xf>
    <xf numFmtId="0" fontId="10" fillId="0" borderId="37" xfId="0" applyFont="1" applyBorder="1" applyAlignment="1" applyProtection="1">
      <alignment/>
      <protection locked="0"/>
    </xf>
    <xf numFmtId="43" fontId="10" fillId="0" borderId="38" xfId="42" applyFont="1" applyBorder="1" applyAlignment="1" applyProtection="1">
      <alignment/>
      <protection locked="0"/>
    </xf>
    <xf numFmtId="43" fontId="10" fillId="0" borderId="39" xfId="42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locked="0"/>
    </xf>
    <xf numFmtId="43" fontId="10" fillId="0" borderId="35" xfId="42" applyFont="1" applyBorder="1" applyAlignment="1" applyProtection="1">
      <alignment/>
      <protection locked="0"/>
    </xf>
    <xf numFmtId="43" fontId="10" fillId="0" borderId="36" xfId="42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43" fontId="10" fillId="0" borderId="25" xfId="42" applyFont="1" applyBorder="1" applyAlignment="1" applyProtection="1">
      <alignment/>
      <protection locked="0"/>
    </xf>
    <xf numFmtId="0" fontId="86" fillId="0" borderId="0" xfId="0" applyFont="1" applyAlignment="1" applyProtection="1">
      <alignment/>
      <protection locked="0"/>
    </xf>
    <xf numFmtId="0" fontId="76" fillId="0" borderId="24" xfId="0" applyFont="1" applyBorder="1" applyAlignment="1" applyProtection="1">
      <alignment/>
      <protection locked="0"/>
    </xf>
    <xf numFmtId="43" fontId="75" fillId="0" borderId="20" xfId="42" applyFont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4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3" fontId="86" fillId="33" borderId="0" xfId="0" applyNumberFormat="1" applyFont="1" applyFill="1" applyAlignment="1" applyProtection="1">
      <alignment horizontal="center"/>
      <protection/>
    </xf>
    <xf numFmtId="43" fontId="74" fillId="33" borderId="0" xfId="0" applyNumberFormat="1" applyFont="1" applyFill="1" applyAlignment="1" applyProtection="1">
      <alignment horizontal="center"/>
      <protection/>
    </xf>
    <xf numFmtId="43" fontId="0" fillId="0" borderId="0" xfId="0" applyNumberFormat="1" applyFill="1" applyAlignment="1" applyProtection="1">
      <alignment horizontal="center"/>
      <protection/>
    </xf>
    <xf numFmtId="43" fontId="75" fillId="0" borderId="20" xfId="42" applyFont="1" applyBorder="1" applyAlignment="1" applyProtection="1">
      <alignment horizontal="right"/>
      <protection/>
    </xf>
    <xf numFmtId="43" fontId="10" fillId="0" borderId="33" xfId="42" applyFont="1" applyBorder="1" applyAlignment="1" applyProtection="1">
      <alignment/>
      <protection/>
    </xf>
    <xf numFmtId="9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9" fontId="0" fillId="0" borderId="46" xfId="0" applyNumberFormat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74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9" fontId="0" fillId="0" borderId="0" xfId="0" applyNumberFormat="1" applyBorder="1" applyAlignment="1" applyProtection="1">
      <alignment/>
      <protection locked="0"/>
    </xf>
    <xf numFmtId="0" fontId="87" fillId="0" borderId="0" xfId="0" applyFont="1" applyAlignment="1" applyProtection="1">
      <alignment/>
      <protection locked="0"/>
    </xf>
    <xf numFmtId="0" fontId="8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2" fontId="48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2" fontId="11" fillId="0" borderId="0" xfId="0" applyNumberFormat="1" applyFont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87" fillId="0" borderId="0" xfId="0" applyFont="1" applyAlignment="1" applyProtection="1">
      <alignment horizontal="right"/>
      <protection locked="0"/>
    </xf>
    <xf numFmtId="0" fontId="88" fillId="0" borderId="0" xfId="0" applyFont="1" applyAlignment="1" applyProtection="1">
      <alignment horizontal="right"/>
      <protection locked="0"/>
    </xf>
    <xf numFmtId="172" fontId="59" fillId="28" borderId="0" xfId="41" applyNumberFormat="1" applyAlignment="1" applyProtection="1">
      <alignment/>
      <protection/>
    </xf>
    <xf numFmtId="0" fontId="89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9" fontId="0" fillId="0" borderId="0" xfId="0" applyNumberFormat="1" applyAlignment="1" applyProtection="1">
      <alignment/>
      <protection/>
    </xf>
    <xf numFmtId="9" fontId="0" fillId="0" borderId="46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 locked="0"/>
    </xf>
    <xf numFmtId="4" fontId="11" fillId="0" borderId="0" xfId="42" applyNumberFormat="1" applyFont="1" applyBorder="1" applyAlignment="1" applyProtection="1">
      <alignment/>
      <protection locked="0"/>
    </xf>
    <xf numFmtId="4" fontId="11" fillId="0" borderId="0" xfId="42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/>
      <protection locked="0"/>
    </xf>
    <xf numFmtId="4" fontId="14" fillId="0" borderId="0" xfId="42" applyNumberFormat="1" applyFont="1" applyBorder="1" applyAlignment="1" applyProtection="1">
      <alignment horizontal="right"/>
      <protection locked="0"/>
    </xf>
    <xf numFmtId="4" fontId="77" fillId="0" borderId="0" xfId="42" applyNumberFormat="1" applyFont="1" applyFill="1" applyBorder="1" applyAlignment="1" applyProtection="1">
      <alignment horizontal="right"/>
      <protection locked="0"/>
    </xf>
    <xf numFmtId="43" fontId="14" fillId="0" borderId="0" xfId="42" applyFont="1" applyBorder="1" applyAlignment="1" applyProtection="1">
      <alignment/>
      <protection locked="0"/>
    </xf>
    <xf numFmtId="4" fontId="14" fillId="0" borderId="0" xfId="0" applyNumberFormat="1" applyFont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 locked="0"/>
    </xf>
    <xf numFmtId="4" fontId="77" fillId="0" borderId="0" xfId="42" applyNumberFormat="1" applyFont="1" applyFill="1" applyBorder="1" applyAlignment="1" applyProtection="1">
      <alignment horizontal="right"/>
      <protection/>
    </xf>
    <xf numFmtId="4" fontId="14" fillId="0" borderId="0" xfId="0" applyNumberFormat="1" applyFont="1" applyAlignment="1" applyProtection="1">
      <alignment horizontal="right"/>
      <protection/>
    </xf>
    <xf numFmtId="4" fontId="14" fillId="0" borderId="0" xfId="42" applyNumberFormat="1" applyFont="1" applyBorder="1" applyAlignment="1" applyProtection="1">
      <alignment horizontal="right"/>
      <protection/>
    </xf>
    <xf numFmtId="4" fontId="11" fillId="0" borderId="0" xfId="42" applyNumberFormat="1" applyFont="1" applyBorder="1" applyAlignment="1" applyProtection="1">
      <alignment horizontal="right"/>
      <protection/>
    </xf>
    <xf numFmtId="43" fontId="11" fillId="0" borderId="0" xfId="42" applyFont="1" applyBorder="1" applyAlignment="1" applyProtection="1">
      <alignment/>
      <protection locked="0"/>
    </xf>
    <xf numFmtId="2" fontId="11" fillId="0" borderId="0" xfId="42" applyNumberFormat="1" applyFont="1" applyBorder="1" applyAlignment="1" applyProtection="1">
      <alignment horizontal="right"/>
      <protection locked="0"/>
    </xf>
    <xf numFmtId="2" fontId="11" fillId="0" borderId="0" xfId="0" applyNumberFormat="1" applyFont="1" applyAlignment="1" applyProtection="1">
      <alignment horizontal="right"/>
      <protection locked="0"/>
    </xf>
    <xf numFmtId="2" fontId="14" fillId="0" borderId="0" xfId="42" applyNumberFormat="1" applyFont="1" applyBorder="1" applyAlignment="1" applyProtection="1">
      <alignment horizontal="right"/>
      <protection locked="0"/>
    </xf>
    <xf numFmtId="2" fontId="77" fillId="0" borderId="0" xfId="42" applyNumberFormat="1" applyFont="1" applyFill="1" applyBorder="1" applyAlignment="1" applyProtection="1">
      <alignment horizontal="right"/>
      <protection locked="0"/>
    </xf>
    <xf numFmtId="2" fontId="14" fillId="0" borderId="0" xfId="0" applyNumberFormat="1" applyFont="1" applyAlignment="1" applyProtection="1">
      <alignment horizontal="right"/>
      <protection locked="0"/>
    </xf>
    <xf numFmtId="168" fontId="11" fillId="0" borderId="0" xfId="42" applyNumberFormat="1" applyFont="1" applyBorder="1" applyAlignment="1" applyProtection="1">
      <alignment/>
      <protection locked="0"/>
    </xf>
    <xf numFmtId="2" fontId="11" fillId="0" borderId="0" xfId="42" applyNumberFormat="1" applyFont="1" applyBorder="1" applyAlignment="1" applyProtection="1">
      <alignment horizontal="right"/>
      <protection/>
    </xf>
    <xf numFmtId="2" fontId="14" fillId="0" borderId="0" xfId="42" applyNumberFormat="1" applyFont="1" applyBorder="1" applyAlignment="1" applyProtection="1">
      <alignment horizontal="right"/>
      <protection/>
    </xf>
    <xf numFmtId="2" fontId="77" fillId="0" borderId="0" xfId="42" applyNumberFormat="1" applyFont="1" applyFill="1" applyBorder="1" applyAlignment="1" applyProtection="1">
      <alignment horizontal="right"/>
      <protection/>
    </xf>
    <xf numFmtId="2" fontId="14" fillId="0" borderId="0" xfId="0" applyNumberFormat="1" applyFont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 locked="0"/>
    </xf>
    <xf numFmtId="43" fontId="10" fillId="0" borderId="25" xfId="42" applyFont="1" applyBorder="1" applyAlignment="1" applyProtection="1">
      <alignment/>
      <protection/>
    </xf>
    <xf numFmtId="175" fontId="0" fillId="0" borderId="0" xfId="0" applyNumberFormat="1" applyAlignment="1" applyProtection="1">
      <alignment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35"/>
          <c:y val="0.017"/>
          <c:w val="0.61675"/>
          <c:h val="0.96325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Arkusz1!$A$7</c:f>
              <c:strCache>
                <c:ptCount val="1"/>
                <c:pt idx="0">
                  <c:v>A. Przychody ogółem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Arkusz1!$D$7:$H$7</c:f>
              <c:numCache/>
            </c:numRef>
          </c:val>
          <c:shape val="box"/>
        </c:ser>
        <c:ser>
          <c:idx val="0"/>
          <c:order val="1"/>
          <c:tx>
            <c:strRef>
              <c:f>Arkusz1!$A$10</c:f>
              <c:strCache>
                <c:ptCount val="1"/>
                <c:pt idx="0">
                  <c:v>B. Koszt uzyskania przychodu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Arkusz1!$D$10:$H$10</c:f>
              <c:numCache/>
            </c:numRef>
          </c:val>
          <c:shape val="box"/>
        </c:ser>
        <c:ser>
          <c:idx val="1"/>
          <c:order val="2"/>
          <c:tx>
            <c:strRef>
              <c:f>Arkusz1!$A$11</c:f>
              <c:strCache>
                <c:ptCount val="1"/>
                <c:pt idx="0">
                  <c:v>1. Wydatki ogółem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Arkusz1!$D$11:$H$11</c:f>
              <c:numCache/>
            </c:numRef>
          </c:val>
          <c:shape val="box"/>
        </c:ser>
        <c:ser>
          <c:idx val="7"/>
          <c:order val="3"/>
          <c:tx>
            <c:strRef>
              <c:f>Arkusz1!$A$12</c:f>
              <c:strCache>
                <c:ptCount val="1"/>
                <c:pt idx="0">
                  <c:v>1a. zakup towarów handlowych i materiałów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Arkusz1!$D$12:$H$12</c:f>
              <c:numCache/>
            </c:numRef>
          </c:val>
          <c:shape val="box"/>
        </c:ser>
        <c:ser>
          <c:idx val="9"/>
          <c:order val="4"/>
          <c:tx>
            <c:strRef>
              <c:f>Arkusz1!$A$14</c:f>
              <c:strCache>
                <c:ptCount val="1"/>
                <c:pt idx="0">
                  <c:v>1c. wynagrodzenia z narzutami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Arkusz1!$D$14:$H$14</c:f>
              <c:numCache/>
            </c:numRef>
          </c:val>
          <c:shape val="box"/>
        </c:ser>
        <c:ser>
          <c:idx val="10"/>
          <c:order val="5"/>
          <c:tx>
            <c:strRef>
              <c:f>Arkusz1!$A$15</c:f>
              <c:strCache>
                <c:ptCount val="1"/>
                <c:pt idx="0">
                  <c:v>1d. pozostałe wydatki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Arkusz1!$D$15:$H$15</c:f>
              <c:numCache/>
            </c:numRef>
          </c:val>
          <c:shape val="box"/>
        </c:ser>
        <c:ser>
          <c:idx val="14"/>
          <c:order val="6"/>
          <c:tx>
            <c:strRef>
              <c:f>Arkusz1!$A$19</c:f>
              <c:strCache>
                <c:ptCount val="1"/>
                <c:pt idx="0">
                  <c:v>2a. remanent początkowy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Arkusz1!$D$19:$H$19</c:f>
              <c:numCache/>
            </c:numRef>
          </c:val>
          <c:shape val="box"/>
        </c:ser>
        <c:ser>
          <c:idx val="15"/>
          <c:order val="7"/>
          <c:tx>
            <c:strRef>
              <c:f>Arkusz1!$A$20</c:f>
              <c:strCache>
                <c:ptCount val="1"/>
                <c:pt idx="0">
                  <c:v>2b. remanent końcowy</c:v>
                </c:pt>
              </c:strCache>
            </c:strRef>
          </c:tx>
          <c:spPr>
            <a:solidFill>
              <a:srgbClr val="BAB0C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Arkusz1!$D$20:$H$20</c:f>
              <c:numCache/>
            </c:numRef>
          </c:val>
          <c:shape val="box"/>
        </c:ser>
        <c:ser>
          <c:idx val="16"/>
          <c:order val="8"/>
          <c:tx>
            <c:strRef>
              <c:f>Arkusz1!$A$21</c:f>
              <c:strCache>
                <c:ptCount val="1"/>
                <c:pt idx="0">
                  <c:v>C. Wynik na działalności (A-B)</c:v>
                </c:pt>
              </c:strCache>
            </c:strRef>
          </c:tx>
          <c:spPr>
            <a:solidFill>
              <a:srgbClr val="A9CE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Arkusz1!$D$21:$H$21</c:f>
              <c:numCache/>
            </c:numRef>
          </c:val>
          <c:shape val="box"/>
        </c:ser>
        <c:shape val="box"/>
        <c:axId val="25364077"/>
        <c:axId val="39638294"/>
      </c:bar3DChart>
      <c:catAx>
        <c:axId val="2536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38294"/>
        <c:crosses val="autoZero"/>
        <c:auto val="1"/>
        <c:lblOffset val="100"/>
        <c:tickLblSkip val="1"/>
        <c:noMultiLvlLbl val="0"/>
      </c:catAx>
      <c:valAx>
        <c:axId val="396382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64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75"/>
          <c:y val="0.31375"/>
          <c:w val="0.34225"/>
          <c:h val="0.3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35"/>
          <c:y val="0.016"/>
          <c:w val="0.61675"/>
          <c:h val="0.96525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wyprzedaż!$A$7</c:f>
              <c:strCache>
                <c:ptCount val="1"/>
                <c:pt idx="0">
                  <c:v>A. Przychody ogółem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wyprzedaż!$D$7:$H$7</c:f>
              <c:numCache/>
            </c:numRef>
          </c:val>
          <c:shape val="box"/>
        </c:ser>
        <c:ser>
          <c:idx val="0"/>
          <c:order val="1"/>
          <c:tx>
            <c:strRef>
              <c:f>wyprzedaż!$A$10</c:f>
              <c:strCache>
                <c:ptCount val="1"/>
                <c:pt idx="0">
                  <c:v>B. Koszt uzyskania przychodu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wyprzedaż!$D$10:$H$10</c:f>
              <c:numCache/>
            </c:numRef>
          </c:val>
          <c:shape val="box"/>
        </c:ser>
        <c:ser>
          <c:idx val="1"/>
          <c:order val="2"/>
          <c:tx>
            <c:strRef>
              <c:f>wyprzedaż!$A$11</c:f>
              <c:strCache>
                <c:ptCount val="1"/>
                <c:pt idx="0">
                  <c:v>1. Wydatki ogółem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wyprzedaż!$D$11:$H$11</c:f>
              <c:numCache/>
            </c:numRef>
          </c:val>
          <c:shape val="box"/>
        </c:ser>
        <c:ser>
          <c:idx val="7"/>
          <c:order val="3"/>
          <c:tx>
            <c:strRef>
              <c:f>wyprzedaż!$A$12</c:f>
              <c:strCache>
                <c:ptCount val="1"/>
                <c:pt idx="0">
                  <c:v>1a. zakup towarów handlowych i materiałów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wyprzedaż!$D$12:$H$12</c:f>
              <c:numCache/>
            </c:numRef>
          </c:val>
          <c:shape val="box"/>
        </c:ser>
        <c:ser>
          <c:idx val="9"/>
          <c:order val="4"/>
          <c:tx>
            <c:strRef>
              <c:f>wyprzedaż!$A$14</c:f>
              <c:strCache>
                <c:ptCount val="1"/>
                <c:pt idx="0">
                  <c:v>1c. wynagrodzenia z narzutami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wyprzedaż!$D$14:$H$14</c:f>
              <c:numCache/>
            </c:numRef>
          </c:val>
          <c:shape val="box"/>
        </c:ser>
        <c:ser>
          <c:idx val="10"/>
          <c:order val="5"/>
          <c:tx>
            <c:strRef>
              <c:f>wyprzedaż!$A$15</c:f>
              <c:strCache>
                <c:ptCount val="1"/>
                <c:pt idx="0">
                  <c:v>1d. pozostałe wydatki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wyprzedaż!$D$15:$H$15</c:f>
              <c:numCache/>
            </c:numRef>
          </c:val>
          <c:shape val="box"/>
        </c:ser>
        <c:ser>
          <c:idx val="14"/>
          <c:order val="6"/>
          <c:tx>
            <c:strRef>
              <c:f>wyprzedaż!$A$20</c:f>
              <c:strCache>
                <c:ptCount val="1"/>
                <c:pt idx="0">
                  <c:v>2a. remanent początkowy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wyprzedaż!$D$20:$H$20</c:f>
              <c:numCache/>
            </c:numRef>
          </c:val>
          <c:shape val="box"/>
        </c:ser>
        <c:ser>
          <c:idx val="15"/>
          <c:order val="7"/>
          <c:tx>
            <c:strRef>
              <c:f>wyprzedaż!$A$21</c:f>
              <c:strCache>
                <c:ptCount val="1"/>
                <c:pt idx="0">
                  <c:v>2b. remanent końcowy</c:v>
                </c:pt>
              </c:strCache>
            </c:strRef>
          </c:tx>
          <c:spPr>
            <a:solidFill>
              <a:srgbClr val="BAB0C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wyprzedaż!$D$21:$H$21</c:f>
              <c:numCache/>
            </c:numRef>
          </c:val>
          <c:shape val="box"/>
        </c:ser>
        <c:ser>
          <c:idx val="16"/>
          <c:order val="8"/>
          <c:tx>
            <c:strRef>
              <c:f>wyprzedaż!$A$22</c:f>
              <c:strCache>
                <c:ptCount val="1"/>
                <c:pt idx="0">
                  <c:v>C. Wynik na działalności (A-B)</c:v>
                </c:pt>
              </c:strCache>
            </c:strRef>
          </c:tx>
          <c:spPr>
            <a:solidFill>
              <a:srgbClr val="A9CE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wyprzedaż!$D$22:$H$22</c:f>
              <c:numCache/>
            </c:numRef>
          </c:val>
          <c:shape val="box"/>
        </c:ser>
        <c:shape val="box"/>
        <c:axId val="7914311"/>
        <c:axId val="40873792"/>
      </c:bar3DChart>
      <c:catAx>
        <c:axId val="791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73792"/>
        <c:crosses val="autoZero"/>
        <c:auto val="1"/>
        <c:lblOffset val="100"/>
        <c:tickLblSkip val="1"/>
        <c:noMultiLvlLbl val="0"/>
      </c:catAx>
      <c:valAx>
        <c:axId val="40873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143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75"/>
          <c:y val="0.3245"/>
          <c:w val="0.34225"/>
          <c:h val="0.3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35"/>
          <c:y val="0.016"/>
          <c:w val="0.61675"/>
          <c:h val="0.96525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'wyprzedaż (2)'!$A$7</c:f>
              <c:strCache>
                <c:ptCount val="1"/>
                <c:pt idx="0">
                  <c:v>A. Przychody ogółem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'wyprzedaż (2)'!$D$7:$H$7</c:f>
              <c:numCache/>
            </c:numRef>
          </c:val>
          <c:shape val="box"/>
        </c:ser>
        <c:ser>
          <c:idx val="0"/>
          <c:order val="1"/>
          <c:tx>
            <c:strRef>
              <c:f>'wyprzedaż (2)'!$A$10</c:f>
              <c:strCache>
                <c:ptCount val="1"/>
                <c:pt idx="0">
                  <c:v>B. Koszt uzyskania przychodu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'wyprzedaż (2)'!$D$10:$H$10</c:f>
              <c:numCache/>
            </c:numRef>
          </c:val>
          <c:shape val="box"/>
        </c:ser>
        <c:ser>
          <c:idx val="1"/>
          <c:order val="2"/>
          <c:tx>
            <c:strRef>
              <c:f>'wyprzedaż (2)'!$A$11</c:f>
              <c:strCache>
                <c:ptCount val="1"/>
                <c:pt idx="0">
                  <c:v>1. Wydatki ogółem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'wyprzedaż (2)'!$D$11:$H$11</c:f>
              <c:numCache/>
            </c:numRef>
          </c:val>
          <c:shape val="box"/>
        </c:ser>
        <c:ser>
          <c:idx val="7"/>
          <c:order val="3"/>
          <c:tx>
            <c:strRef>
              <c:f>'wyprzedaż (2)'!$A$12</c:f>
              <c:strCache>
                <c:ptCount val="1"/>
                <c:pt idx="0">
                  <c:v>1a. zakup towarów handlowych i materiałów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'wyprzedaż (2)'!$D$12:$H$12</c:f>
              <c:numCache/>
            </c:numRef>
          </c:val>
          <c:shape val="box"/>
        </c:ser>
        <c:ser>
          <c:idx val="9"/>
          <c:order val="4"/>
          <c:tx>
            <c:strRef>
              <c:f>'wyprzedaż (2)'!$A$14</c:f>
              <c:strCache>
                <c:ptCount val="1"/>
                <c:pt idx="0">
                  <c:v>1c. wynagrodzenia z narzutami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'wyprzedaż (2)'!$D$14:$H$14</c:f>
              <c:numCache/>
            </c:numRef>
          </c:val>
          <c:shape val="box"/>
        </c:ser>
        <c:ser>
          <c:idx val="10"/>
          <c:order val="5"/>
          <c:tx>
            <c:strRef>
              <c:f>'wyprzedaż (2)'!$A$15</c:f>
              <c:strCache>
                <c:ptCount val="1"/>
                <c:pt idx="0">
                  <c:v>1d. pozostałe wydatki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'wyprzedaż (2)'!$D$15:$H$15</c:f>
              <c:numCache/>
            </c:numRef>
          </c:val>
          <c:shape val="box"/>
        </c:ser>
        <c:ser>
          <c:idx val="14"/>
          <c:order val="6"/>
          <c:tx>
            <c:strRef>
              <c:f>'wyprzedaż (2)'!$A$20</c:f>
              <c:strCache>
                <c:ptCount val="1"/>
                <c:pt idx="0">
                  <c:v>2a. remanent początkowy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'wyprzedaż (2)'!$D$20:$H$20</c:f>
              <c:numCache/>
            </c:numRef>
          </c:val>
          <c:shape val="box"/>
        </c:ser>
        <c:ser>
          <c:idx val="15"/>
          <c:order val="7"/>
          <c:tx>
            <c:strRef>
              <c:f>'wyprzedaż (2)'!$A$21</c:f>
              <c:strCache>
                <c:ptCount val="1"/>
                <c:pt idx="0">
                  <c:v>2b. remanent końcowy</c:v>
                </c:pt>
              </c:strCache>
            </c:strRef>
          </c:tx>
          <c:spPr>
            <a:solidFill>
              <a:srgbClr val="BAB0C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'wyprzedaż (2)'!$D$21:$H$21</c:f>
              <c:numCache/>
            </c:numRef>
          </c:val>
          <c:shape val="box"/>
        </c:ser>
        <c:ser>
          <c:idx val="16"/>
          <c:order val="8"/>
          <c:tx>
            <c:strRef>
              <c:f>'wyprzedaż (2)'!$A$22</c:f>
              <c:strCache>
                <c:ptCount val="1"/>
                <c:pt idx="0">
                  <c:v>C. Wynik na działalności (A-B)</c:v>
                </c:pt>
              </c:strCache>
            </c:strRef>
          </c:tx>
          <c:spPr>
            <a:solidFill>
              <a:srgbClr val="A9CE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'wyprzedaż (2)'!$D$22:$H$22</c:f>
              <c:numCache/>
            </c:numRef>
          </c:val>
          <c:shape val="box"/>
        </c:ser>
        <c:shape val="box"/>
        <c:axId val="30996801"/>
        <c:axId val="48173962"/>
      </c:bar3DChart>
      <c:catAx>
        <c:axId val="30996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73962"/>
        <c:crosses val="autoZero"/>
        <c:auto val="1"/>
        <c:lblOffset val="100"/>
        <c:tickLblSkip val="1"/>
        <c:noMultiLvlLbl val="0"/>
      </c:catAx>
      <c:valAx>
        <c:axId val="481739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968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75"/>
          <c:y val="0.3245"/>
          <c:w val="0.34225"/>
          <c:h val="0.3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857250</xdr:colOff>
      <xdr:row>4</xdr:row>
      <xdr:rowOff>114300</xdr:rowOff>
    </xdr:from>
    <xdr:to>
      <xdr:col>20</xdr:col>
      <xdr:colOff>219075</xdr:colOff>
      <xdr:row>33</xdr:row>
      <xdr:rowOff>85725</xdr:rowOff>
    </xdr:to>
    <xdr:graphicFrame>
      <xdr:nvGraphicFramePr>
        <xdr:cNvPr id="1" name="Wykres 6"/>
        <xdr:cNvGraphicFramePr/>
      </xdr:nvGraphicFramePr>
      <xdr:xfrm>
        <a:off x="7229475" y="1000125"/>
        <a:ext cx="68770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857250</xdr:colOff>
      <xdr:row>4</xdr:row>
      <xdr:rowOff>114300</xdr:rowOff>
    </xdr:from>
    <xdr:to>
      <xdr:col>20</xdr:col>
      <xdr:colOff>219075</xdr:colOff>
      <xdr:row>34</xdr:row>
      <xdr:rowOff>85725</xdr:rowOff>
    </xdr:to>
    <xdr:graphicFrame>
      <xdr:nvGraphicFramePr>
        <xdr:cNvPr id="1" name="Wykres 6"/>
        <xdr:cNvGraphicFramePr/>
      </xdr:nvGraphicFramePr>
      <xdr:xfrm>
        <a:off x="7229475" y="1000125"/>
        <a:ext cx="68770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857250</xdr:colOff>
      <xdr:row>4</xdr:row>
      <xdr:rowOff>114300</xdr:rowOff>
    </xdr:from>
    <xdr:to>
      <xdr:col>20</xdr:col>
      <xdr:colOff>219075</xdr:colOff>
      <xdr:row>34</xdr:row>
      <xdr:rowOff>85725</xdr:rowOff>
    </xdr:to>
    <xdr:graphicFrame>
      <xdr:nvGraphicFramePr>
        <xdr:cNvPr id="1" name="Wykres 6"/>
        <xdr:cNvGraphicFramePr/>
      </xdr:nvGraphicFramePr>
      <xdr:xfrm>
        <a:off x="7229475" y="1000125"/>
        <a:ext cx="68770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A41" sqref="A41:I41"/>
    </sheetView>
  </sheetViews>
  <sheetFormatPr defaultColWidth="9.140625" defaultRowHeight="12.75"/>
  <cols>
    <col min="8" max="8" width="13.28125" style="0" customWidth="1"/>
    <col min="11" max="11" width="16.00390625" style="0" customWidth="1"/>
    <col min="12" max="12" width="18.140625" style="0" customWidth="1"/>
    <col min="13" max="13" width="14.57421875" style="0" customWidth="1"/>
  </cols>
  <sheetData>
    <row r="1" spans="1:9" ht="12.75">
      <c r="A1" s="132"/>
      <c r="B1" s="132"/>
      <c r="C1" s="132"/>
      <c r="D1" s="132"/>
      <c r="E1" s="133"/>
      <c r="F1" s="133"/>
      <c r="G1" s="133"/>
      <c r="H1" s="133"/>
      <c r="I1" s="133"/>
    </row>
    <row r="2" spans="1:9" ht="18" customHeight="1">
      <c r="A2" s="174" t="s">
        <v>34</v>
      </c>
      <c r="B2" s="174"/>
      <c r="C2" s="174"/>
      <c r="D2" s="174"/>
      <c r="E2" s="134" t="s">
        <v>0</v>
      </c>
      <c r="F2" s="134"/>
      <c r="G2" s="134"/>
      <c r="H2" s="134"/>
      <c r="I2" s="134"/>
    </row>
    <row r="3" spans="1:9" ht="25.5" customHeight="1">
      <c r="A3" s="175"/>
      <c r="B3" s="175"/>
      <c r="C3" s="175"/>
      <c r="D3" s="175"/>
      <c r="E3" s="134" t="s">
        <v>1</v>
      </c>
      <c r="F3" s="134"/>
      <c r="G3" s="134"/>
      <c r="H3" s="134"/>
      <c r="I3" s="134"/>
    </row>
    <row r="4" spans="1:9" ht="13.5" thickBot="1">
      <c r="A4" s="135"/>
      <c r="B4" s="135"/>
      <c r="C4" s="135"/>
      <c r="D4" s="135"/>
      <c r="E4" s="135"/>
      <c r="F4" s="135"/>
      <c r="G4" s="135"/>
      <c r="H4" s="135"/>
      <c r="I4" s="135"/>
    </row>
    <row r="5" spans="1:9" ht="13.5" thickBot="1">
      <c r="A5" s="136" t="s">
        <v>2</v>
      </c>
      <c r="B5" s="137"/>
      <c r="C5" s="138"/>
      <c r="D5" s="139">
        <v>2008</v>
      </c>
      <c r="E5" s="140"/>
      <c r="F5" s="139">
        <v>2009</v>
      </c>
      <c r="G5" s="140"/>
      <c r="H5" s="1">
        <v>2010</v>
      </c>
      <c r="I5" s="1"/>
    </row>
    <row r="6" spans="1:9" ht="13.5" thickBot="1">
      <c r="A6" s="141" t="s">
        <v>3</v>
      </c>
      <c r="B6" s="142"/>
      <c r="C6" s="143"/>
      <c r="D6" s="144"/>
      <c r="E6" s="145"/>
      <c r="F6" s="144"/>
      <c r="G6" s="145"/>
      <c r="H6" s="3"/>
      <c r="I6" s="3"/>
    </row>
    <row r="7" spans="1:9" ht="13.5" thickBot="1">
      <c r="A7" s="146" t="s">
        <v>4</v>
      </c>
      <c r="B7" s="147"/>
      <c r="C7" s="148"/>
      <c r="D7" s="149">
        <f>D8+D9</f>
        <v>1140282.91</v>
      </c>
      <c r="E7" s="150"/>
      <c r="F7" s="149">
        <f>F8+F9</f>
        <v>729070.98</v>
      </c>
      <c r="G7" s="150"/>
      <c r="H7" s="14">
        <f>H8+H9</f>
        <v>593025.66</v>
      </c>
      <c r="I7" s="2"/>
    </row>
    <row r="8" spans="1:9" ht="25.5" customHeight="1" thickBot="1">
      <c r="A8" s="146" t="s">
        <v>5</v>
      </c>
      <c r="B8" s="147"/>
      <c r="C8" s="148"/>
      <c r="D8" s="149">
        <v>1140282.91</v>
      </c>
      <c r="E8" s="150"/>
      <c r="F8" s="149">
        <v>712267.7</v>
      </c>
      <c r="G8" s="150"/>
      <c r="H8" s="14">
        <v>593025.66</v>
      </c>
      <c r="I8" s="2"/>
    </row>
    <row r="9" spans="1:9" ht="13.5" thickBot="1">
      <c r="A9" s="151" t="s">
        <v>6</v>
      </c>
      <c r="B9" s="152"/>
      <c r="C9" s="153"/>
      <c r="D9" s="149">
        <v>0</v>
      </c>
      <c r="E9" s="150"/>
      <c r="F9" s="149">
        <v>16803.28</v>
      </c>
      <c r="G9" s="150"/>
      <c r="H9" s="14">
        <v>0</v>
      </c>
      <c r="I9" s="2"/>
    </row>
    <row r="10" spans="1:9" ht="25.5" customHeight="1" thickBot="1">
      <c r="A10" s="146" t="s">
        <v>35</v>
      </c>
      <c r="B10" s="147"/>
      <c r="C10" s="148"/>
      <c r="D10" s="149">
        <f>D11-D18</f>
        <v>1024508.38</v>
      </c>
      <c r="E10" s="150"/>
      <c r="F10" s="149">
        <f>F11-F18</f>
        <v>493369.57</v>
      </c>
      <c r="G10" s="150"/>
      <c r="H10" s="14">
        <f>H11-H18</f>
        <v>198270.92</v>
      </c>
      <c r="I10" s="2"/>
    </row>
    <row r="11" spans="1:9" ht="13.5" thickBot="1">
      <c r="A11" s="146" t="s">
        <v>7</v>
      </c>
      <c r="B11" s="147"/>
      <c r="C11" s="148"/>
      <c r="D11" s="149">
        <f>SUM(D12:E15)</f>
        <v>1018254.73</v>
      </c>
      <c r="E11" s="150"/>
      <c r="F11" s="149">
        <f>SUM(F12:G15)</f>
        <v>495609.81</v>
      </c>
      <c r="G11" s="150"/>
      <c r="H11" s="14">
        <f>SUM(H12:H15)</f>
        <v>415263.69</v>
      </c>
      <c r="I11" s="2"/>
    </row>
    <row r="12" spans="1:9" ht="25.5" customHeight="1" thickBot="1">
      <c r="A12" s="151" t="s">
        <v>8</v>
      </c>
      <c r="B12" s="152"/>
      <c r="C12" s="153"/>
      <c r="D12" s="149">
        <v>859516.23</v>
      </c>
      <c r="E12" s="150"/>
      <c r="F12" s="149">
        <v>306798.2</v>
      </c>
      <c r="G12" s="150"/>
      <c r="H12" s="14">
        <v>227205.41</v>
      </c>
      <c r="I12" s="2"/>
    </row>
    <row r="13" spans="1:9" ht="13.5" thickBot="1">
      <c r="A13" s="151" t="s">
        <v>9</v>
      </c>
      <c r="B13" s="152"/>
      <c r="C13" s="153"/>
      <c r="D13" s="149">
        <v>0</v>
      </c>
      <c r="E13" s="150"/>
      <c r="F13" s="149">
        <v>0</v>
      </c>
      <c r="G13" s="150"/>
      <c r="H13" s="14">
        <v>0</v>
      </c>
      <c r="I13" s="2"/>
    </row>
    <row r="14" spans="1:9" ht="13.5" thickBot="1">
      <c r="A14" s="151" t="s">
        <v>10</v>
      </c>
      <c r="B14" s="152"/>
      <c r="C14" s="153"/>
      <c r="D14" s="149">
        <v>29041.14</v>
      </c>
      <c r="E14" s="150"/>
      <c r="F14" s="149">
        <v>44841.92</v>
      </c>
      <c r="G14" s="150"/>
      <c r="H14" s="14">
        <v>56641.89</v>
      </c>
      <c r="I14" s="2"/>
    </row>
    <row r="15" spans="1:9" ht="13.5" thickBot="1">
      <c r="A15" s="151" t="s">
        <v>11</v>
      </c>
      <c r="B15" s="152"/>
      <c r="C15" s="153"/>
      <c r="D15" s="149">
        <v>129697.36</v>
      </c>
      <c r="E15" s="150"/>
      <c r="F15" s="149">
        <v>143969.69</v>
      </c>
      <c r="G15" s="150"/>
      <c r="H15" s="14">
        <v>131416.39</v>
      </c>
      <c r="I15" s="2"/>
    </row>
    <row r="16" spans="1:9" ht="13.5" thickBot="1">
      <c r="A16" s="151" t="s">
        <v>12</v>
      </c>
      <c r="B16" s="152"/>
      <c r="C16" s="153"/>
      <c r="D16" s="149">
        <v>23425.22</v>
      </c>
      <c r="E16" s="150"/>
      <c r="F16" s="149">
        <v>523.92</v>
      </c>
      <c r="G16" s="150"/>
      <c r="H16" s="14">
        <v>771.12</v>
      </c>
      <c r="I16" s="2"/>
    </row>
    <row r="17" spans="1:13" ht="13.5" thickBot="1">
      <c r="A17" s="151" t="s">
        <v>13</v>
      </c>
      <c r="B17" s="152"/>
      <c r="C17" s="153"/>
      <c r="D17" s="149">
        <v>0</v>
      </c>
      <c r="E17" s="150"/>
      <c r="F17" s="149">
        <v>0</v>
      </c>
      <c r="G17" s="150"/>
      <c r="H17" s="14">
        <v>0</v>
      </c>
      <c r="I17" s="2"/>
      <c r="K17" s="11"/>
      <c r="L17" s="11"/>
      <c r="M17" s="11"/>
    </row>
    <row r="18" spans="1:9" ht="13.5" thickBot="1">
      <c r="A18" s="146" t="s">
        <v>36</v>
      </c>
      <c r="B18" s="147"/>
      <c r="C18" s="148"/>
      <c r="D18" s="149">
        <f>D20-D19</f>
        <v>-6253.65</v>
      </c>
      <c r="E18" s="150"/>
      <c r="F18" s="149">
        <f>F20-F19</f>
        <v>2240.2400000000002</v>
      </c>
      <c r="G18" s="150"/>
      <c r="H18" s="14">
        <f>H20-H19</f>
        <v>216992.77</v>
      </c>
      <c r="I18" s="2"/>
    </row>
    <row r="19" spans="1:9" ht="13.5" thickBot="1">
      <c r="A19" s="151" t="s">
        <v>14</v>
      </c>
      <c r="B19" s="152"/>
      <c r="C19" s="153"/>
      <c r="D19" s="149">
        <v>8322.67</v>
      </c>
      <c r="E19" s="150"/>
      <c r="F19" s="149">
        <v>2069.02</v>
      </c>
      <c r="G19" s="150"/>
      <c r="H19" s="14">
        <v>4309.26</v>
      </c>
      <c r="I19" s="2"/>
    </row>
    <row r="20" spans="1:9" ht="13.5" thickBot="1">
      <c r="A20" s="151" t="s">
        <v>15</v>
      </c>
      <c r="B20" s="152"/>
      <c r="C20" s="153"/>
      <c r="D20" s="149">
        <v>2069.02</v>
      </c>
      <c r="E20" s="150"/>
      <c r="F20" s="149">
        <v>4309.26</v>
      </c>
      <c r="G20" s="150"/>
      <c r="H20" s="14">
        <v>221302.03</v>
      </c>
      <c r="I20" s="2"/>
    </row>
    <row r="21" spans="1:9" ht="13.5" thickBot="1">
      <c r="A21" s="146" t="s">
        <v>16</v>
      </c>
      <c r="B21" s="147"/>
      <c r="C21" s="148"/>
      <c r="D21" s="149">
        <f>D7-D10</f>
        <v>115774.52999999991</v>
      </c>
      <c r="E21" s="150"/>
      <c r="F21" s="149">
        <f>F7-F10</f>
        <v>235701.40999999997</v>
      </c>
      <c r="G21" s="150"/>
      <c r="H21" s="14">
        <f>H7-H10</f>
        <v>394754.74</v>
      </c>
      <c r="I21" s="2"/>
    </row>
    <row r="22" spans="1:9" ht="13.5" thickBot="1">
      <c r="A22" s="154" t="s">
        <v>17</v>
      </c>
      <c r="B22" s="155"/>
      <c r="C22" s="156"/>
      <c r="D22" s="149">
        <f>(5718.91+5797.27)</f>
        <v>11516.18</v>
      </c>
      <c r="E22" s="150"/>
      <c r="F22" s="149">
        <f>5786.99+5590.17</f>
        <v>11377.16</v>
      </c>
      <c r="G22" s="150"/>
      <c r="H22" s="14">
        <v>11377.16</v>
      </c>
      <c r="I22" s="2"/>
    </row>
    <row r="23" spans="1:9" ht="13.5" thickBot="1">
      <c r="A23" s="146" t="s">
        <v>37</v>
      </c>
      <c r="B23" s="147"/>
      <c r="C23" s="148"/>
      <c r="D23" s="149">
        <f>D21-D22</f>
        <v>104258.34999999992</v>
      </c>
      <c r="E23" s="150"/>
      <c r="F23" s="149">
        <f>F21-F22</f>
        <v>224324.24999999997</v>
      </c>
      <c r="G23" s="150"/>
      <c r="H23" s="14">
        <f>H21-H22</f>
        <v>383377.58</v>
      </c>
      <c r="I23" s="2"/>
    </row>
    <row r="24" spans="1:9" ht="15.75" thickBot="1">
      <c r="A24" s="157"/>
      <c r="B24" s="157"/>
      <c r="C24" s="157"/>
      <c r="D24" s="157"/>
      <c r="E24" s="157"/>
      <c r="F24" s="157"/>
      <c r="G24" s="157"/>
      <c r="H24" s="157"/>
      <c r="I24" s="157"/>
    </row>
    <row r="25" spans="1:9" ht="13.5" thickBot="1">
      <c r="A25" s="158" t="s">
        <v>2</v>
      </c>
      <c r="B25" s="159"/>
      <c r="C25" s="160"/>
      <c r="D25" s="139">
        <v>2008</v>
      </c>
      <c r="E25" s="140"/>
      <c r="F25" s="139">
        <v>2009</v>
      </c>
      <c r="G25" s="140"/>
      <c r="H25" s="4">
        <v>2010</v>
      </c>
      <c r="I25" s="4"/>
    </row>
    <row r="26" spans="1:9" ht="13.5" thickBot="1">
      <c r="A26" s="161" t="s">
        <v>18</v>
      </c>
      <c r="B26" s="162"/>
      <c r="C26" s="163"/>
      <c r="D26" s="149"/>
      <c r="E26" s="150"/>
      <c r="F26" s="149"/>
      <c r="G26" s="150"/>
      <c r="H26" s="14"/>
      <c r="I26" s="2"/>
    </row>
    <row r="27" spans="1:9" ht="13.5" thickBot="1">
      <c r="A27" s="146" t="s">
        <v>19</v>
      </c>
      <c r="B27" s="147"/>
      <c r="C27" s="148"/>
      <c r="D27" s="149">
        <f>D28+D29</f>
        <v>150000</v>
      </c>
      <c r="E27" s="150"/>
      <c r="F27" s="149">
        <f>F28+F29</f>
        <v>120000</v>
      </c>
      <c r="G27" s="150"/>
      <c r="H27" s="14">
        <f>H28+H29</f>
        <v>280000</v>
      </c>
      <c r="I27" s="2"/>
    </row>
    <row r="28" spans="1:9" ht="13.5" thickBot="1">
      <c r="A28" s="151" t="s">
        <v>20</v>
      </c>
      <c r="B28" s="152"/>
      <c r="C28" s="153"/>
      <c r="D28" s="149">
        <v>150000</v>
      </c>
      <c r="E28" s="150"/>
      <c r="F28" s="149">
        <v>120000</v>
      </c>
      <c r="G28" s="150"/>
      <c r="H28" s="14">
        <v>280000</v>
      </c>
      <c r="I28" s="2"/>
    </row>
    <row r="29" spans="1:9" ht="13.5" thickBot="1">
      <c r="A29" s="151" t="s">
        <v>21</v>
      </c>
      <c r="B29" s="152"/>
      <c r="C29" s="153"/>
      <c r="D29" s="149">
        <v>0</v>
      </c>
      <c r="E29" s="150"/>
      <c r="F29" s="149">
        <v>0</v>
      </c>
      <c r="G29" s="150"/>
      <c r="H29" s="14"/>
      <c r="I29" s="2"/>
    </row>
    <row r="30" spans="1:9" ht="13.5" thickBot="1">
      <c r="A30" s="146" t="s">
        <v>22</v>
      </c>
      <c r="B30" s="147"/>
      <c r="C30" s="148"/>
      <c r="D30" s="149">
        <f>D31+D32+D33</f>
        <v>422069.02</v>
      </c>
      <c r="E30" s="150"/>
      <c r="F30" s="149">
        <f>F31+F32+F33</f>
        <v>237184.7150482564</v>
      </c>
      <c r="G30" s="150"/>
      <c r="H30" s="14">
        <f>H31+H33+H32</f>
        <v>492302.03</v>
      </c>
      <c r="I30" s="2"/>
    </row>
    <row r="31" spans="1:9" ht="13.5" thickBot="1">
      <c r="A31" s="146" t="s">
        <v>23</v>
      </c>
      <c r="B31" s="147"/>
      <c r="C31" s="148"/>
      <c r="D31" s="149">
        <v>220000</v>
      </c>
      <c r="E31" s="150"/>
      <c r="F31" s="149">
        <v>105000</v>
      </c>
      <c r="G31" s="150"/>
      <c r="H31" s="14">
        <v>11000</v>
      </c>
      <c r="I31" s="2"/>
    </row>
    <row r="32" spans="1:9" ht="13.5" thickBot="1">
      <c r="A32" s="146" t="s">
        <v>24</v>
      </c>
      <c r="B32" s="147"/>
      <c r="C32" s="148"/>
      <c r="D32" s="149">
        <f>D20</f>
        <v>2069.02</v>
      </c>
      <c r="E32" s="150"/>
      <c r="F32" s="149">
        <f>F20</f>
        <v>4309.26</v>
      </c>
      <c r="G32" s="150"/>
      <c r="H32" s="14">
        <f>H20</f>
        <v>221302.03</v>
      </c>
      <c r="I32" s="2"/>
    </row>
    <row r="33" spans="1:9" ht="13.5" thickBot="1">
      <c r="A33" s="146" t="s">
        <v>25</v>
      </c>
      <c r="B33" s="147"/>
      <c r="C33" s="148"/>
      <c r="D33" s="149">
        <v>200000</v>
      </c>
      <c r="E33" s="150"/>
      <c r="F33" s="149">
        <f>D33*F7/D7</f>
        <v>127875.45504825641</v>
      </c>
      <c r="G33" s="150"/>
      <c r="H33" s="14">
        <v>260000</v>
      </c>
      <c r="I33" s="2"/>
    </row>
    <row r="34" spans="1:9" ht="13.5" thickBot="1">
      <c r="A34" s="146" t="s">
        <v>26</v>
      </c>
      <c r="B34" s="147"/>
      <c r="C34" s="148"/>
      <c r="D34" s="149">
        <f>D27+D30</f>
        <v>572069.02</v>
      </c>
      <c r="E34" s="150"/>
      <c r="F34" s="149">
        <f>F27+F30</f>
        <v>357184.7150482564</v>
      </c>
      <c r="G34" s="150"/>
      <c r="H34" s="14">
        <f>H30+H27</f>
        <v>772302.03</v>
      </c>
      <c r="I34" s="2"/>
    </row>
    <row r="35" spans="1:9" ht="13.5" thickBot="1">
      <c r="A35" s="161" t="s">
        <v>27</v>
      </c>
      <c r="B35" s="162"/>
      <c r="C35" s="163"/>
      <c r="D35" s="149"/>
      <c r="E35" s="150"/>
      <c r="F35" s="149"/>
      <c r="G35" s="150"/>
      <c r="H35" s="14"/>
      <c r="I35" s="2"/>
    </row>
    <row r="36" spans="1:9" ht="25.5" customHeight="1" thickBot="1">
      <c r="A36" s="146" t="s">
        <v>28</v>
      </c>
      <c r="B36" s="147"/>
      <c r="C36" s="148"/>
      <c r="D36" s="149">
        <v>0</v>
      </c>
      <c r="E36" s="150"/>
      <c r="F36" s="149">
        <v>0</v>
      </c>
      <c r="G36" s="150"/>
      <c r="H36" s="14">
        <v>0</v>
      </c>
      <c r="I36" s="2"/>
    </row>
    <row r="37" spans="1:9" ht="25.5" customHeight="1" thickBot="1">
      <c r="A37" s="146" t="s">
        <v>29</v>
      </c>
      <c r="B37" s="147"/>
      <c r="C37" s="148"/>
      <c r="D37" s="149">
        <v>54000</v>
      </c>
      <c r="E37" s="150"/>
      <c r="F37" s="149">
        <v>47000</v>
      </c>
      <c r="G37" s="150"/>
      <c r="H37" s="14">
        <v>35000</v>
      </c>
      <c r="I37" s="2"/>
    </row>
    <row r="38" spans="1:9" ht="25.5" customHeight="1" thickBot="1">
      <c r="A38" s="146" t="s">
        <v>30</v>
      </c>
      <c r="B38" s="147"/>
      <c r="C38" s="148"/>
      <c r="D38" s="149">
        <v>165000</v>
      </c>
      <c r="E38" s="150"/>
      <c r="F38" s="149">
        <v>89000</v>
      </c>
      <c r="G38" s="150"/>
      <c r="H38" s="14">
        <v>136000</v>
      </c>
      <c r="I38" s="2"/>
    </row>
    <row r="39" spans="1:9" ht="25.5" customHeight="1" thickBot="1">
      <c r="A39" s="146" t="s">
        <v>31</v>
      </c>
      <c r="B39" s="147"/>
      <c r="C39" s="148"/>
      <c r="D39" s="149">
        <v>0</v>
      </c>
      <c r="E39" s="150"/>
      <c r="F39" s="149">
        <v>0</v>
      </c>
      <c r="G39" s="150"/>
      <c r="H39" s="14">
        <v>350000</v>
      </c>
      <c r="I39" s="2"/>
    </row>
    <row r="40" spans="1:9" ht="25.5" customHeight="1" thickBot="1">
      <c r="A40" s="146" t="s">
        <v>32</v>
      </c>
      <c r="B40" s="147"/>
      <c r="C40" s="148"/>
      <c r="D40" s="149">
        <f>D36+D37+D38+D39</f>
        <v>219000</v>
      </c>
      <c r="E40" s="150"/>
      <c r="F40" s="149">
        <f>F36+F37+F38+F39</f>
        <v>136000</v>
      </c>
      <c r="G40" s="150"/>
      <c r="H40" s="15">
        <f>H39+H38+H37+H36</f>
        <v>521000</v>
      </c>
      <c r="I40" s="5"/>
    </row>
    <row r="41" spans="1:9" ht="38.25" customHeight="1">
      <c r="A41" s="164"/>
      <c r="B41" s="164"/>
      <c r="C41" s="164"/>
      <c r="D41" s="164"/>
      <c r="E41" s="164"/>
      <c r="F41" s="164"/>
      <c r="G41" s="164"/>
      <c r="H41" s="164"/>
      <c r="I41" s="164"/>
    </row>
    <row r="42" spans="1:9" ht="12.75">
      <c r="A42" s="169"/>
      <c r="B42" s="169"/>
      <c r="C42" s="169"/>
      <c r="D42" s="169"/>
      <c r="E42" s="169"/>
      <c r="F42" s="169"/>
      <c r="G42" s="169"/>
      <c r="H42" s="169"/>
      <c r="I42" s="169"/>
    </row>
    <row r="43" spans="1:9" ht="12.75">
      <c r="A43" s="170"/>
      <c r="B43" s="170"/>
      <c r="C43" s="170"/>
      <c r="D43" s="170"/>
      <c r="E43" s="170"/>
      <c r="F43" s="170"/>
      <c r="G43" s="170"/>
      <c r="H43" s="170"/>
      <c r="I43" s="170"/>
    </row>
    <row r="44" spans="1:9" ht="12.75" customHeight="1">
      <c r="A44" s="171"/>
      <c r="B44" s="171"/>
      <c r="C44" s="171"/>
      <c r="D44" s="171"/>
      <c r="E44" s="171"/>
      <c r="F44" s="171"/>
      <c r="G44" s="171"/>
      <c r="H44" s="171"/>
      <c r="I44" s="171"/>
    </row>
    <row r="45" spans="1:9" ht="13.5" thickBot="1">
      <c r="A45" s="172"/>
      <c r="B45" s="172"/>
      <c r="C45" s="172"/>
      <c r="D45" s="172"/>
      <c r="E45" s="172"/>
      <c r="F45" s="172"/>
      <c r="G45" s="172"/>
      <c r="H45" s="172"/>
      <c r="I45" s="172"/>
    </row>
    <row r="46" spans="1:9" ht="13.5" thickBot="1">
      <c r="A46" s="165"/>
      <c r="B46" s="166"/>
      <c r="C46" s="166"/>
      <c r="D46" s="166"/>
      <c r="E46" s="166"/>
      <c r="F46" s="166"/>
      <c r="G46" s="166"/>
      <c r="H46" s="166"/>
      <c r="I46" s="167"/>
    </row>
    <row r="47" spans="1:9" ht="13.5" thickBot="1">
      <c r="A47" s="166"/>
      <c r="B47" s="166"/>
      <c r="C47" s="166"/>
      <c r="D47" s="166"/>
      <c r="E47" s="166"/>
      <c r="F47" s="166"/>
      <c r="G47" s="166"/>
      <c r="H47" s="166"/>
      <c r="I47" s="166"/>
    </row>
    <row r="48" spans="1:9" ht="13.5" thickBot="1">
      <c r="A48" s="165"/>
      <c r="B48" s="166"/>
      <c r="C48" s="166"/>
      <c r="D48" s="166"/>
      <c r="E48" s="166"/>
      <c r="F48" s="166"/>
      <c r="G48" s="166"/>
      <c r="H48" s="166"/>
      <c r="I48" s="167"/>
    </row>
    <row r="49" spans="1:9" ht="13.5" thickBot="1">
      <c r="A49" s="168"/>
      <c r="B49" s="168"/>
      <c r="C49" s="168"/>
      <c r="D49" s="168"/>
      <c r="E49" s="168"/>
      <c r="F49" s="168"/>
      <c r="G49" s="168"/>
      <c r="H49" s="168"/>
      <c r="I49" s="168"/>
    </row>
    <row r="50" spans="1:9" ht="13.5" thickBot="1">
      <c r="A50" s="169"/>
      <c r="B50" s="169"/>
      <c r="C50" s="169"/>
      <c r="D50" s="169"/>
      <c r="E50" s="169"/>
      <c r="F50" s="176"/>
      <c r="G50" s="177"/>
      <c r="H50" s="168"/>
      <c r="I50" s="178"/>
    </row>
    <row r="51" spans="1:9" ht="13.5" thickBot="1">
      <c r="A51" s="8"/>
      <c r="B51" s="9"/>
      <c r="C51" s="179"/>
      <c r="D51" s="180"/>
      <c r="E51" s="180"/>
      <c r="F51" s="181"/>
      <c r="G51" s="182"/>
      <c r="H51" s="183"/>
      <c r="I51" s="184"/>
    </row>
    <row r="52" spans="1:9" ht="12.75">
      <c r="A52" s="7"/>
      <c r="B52" s="6"/>
      <c r="C52" s="169"/>
      <c r="D52" s="169"/>
      <c r="E52" s="169"/>
      <c r="F52" s="169"/>
      <c r="G52" s="173"/>
      <c r="H52" s="173"/>
      <c r="I52" s="173"/>
    </row>
    <row r="55" ht="12.75">
      <c r="A55" s="10" t="s">
        <v>33</v>
      </c>
    </row>
  </sheetData>
  <sheetProtection/>
  <mergeCells count="128">
    <mergeCell ref="C52:F52"/>
    <mergeCell ref="G52:I52"/>
    <mergeCell ref="A2:D2"/>
    <mergeCell ref="A3:D3"/>
    <mergeCell ref="A50:F50"/>
    <mergeCell ref="G50:I50"/>
    <mergeCell ref="C51:F51"/>
    <mergeCell ref="G51:I51"/>
    <mergeCell ref="A46:I46"/>
    <mergeCell ref="A47:I47"/>
    <mergeCell ref="A41:I41"/>
    <mergeCell ref="A48:I48"/>
    <mergeCell ref="A49:I49"/>
    <mergeCell ref="A42:I42"/>
    <mergeCell ref="A43:I43"/>
    <mergeCell ref="A44:I44"/>
    <mergeCell ref="A45:I45"/>
    <mergeCell ref="A39:C39"/>
    <mergeCell ref="D39:E39"/>
    <mergeCell ref="F39:G39"/>
    <mergeCell ref="A40:C40"/>
    <mergeCell ref="D40:E40"/>
    <mergeCell ref="F40:G40"/>
    <mergeCell ref="A37:C37"/>
    <mergeCell ref="D37:E37"/>
    <mergeCell ref="F37:G37"/>
    <mergeCell ref="A38:C38"/>
    <mergeCell ref="D38:E38"/>
    <mergeCell ref="F38:G38"/>
    <mergeCell ref="A35:C35"/>
    <mergeCell ref="D35:E35"/>
    <mergeCell ref="F35:G35"/>
    <mergeCell ref="A36:C36"/>
    <mergeCell ref="D36:E36"/>
    <mergeCell ref="F36:G36"/>
    <mergeCell ref="A33:C33"/>
    <mergeCell ref="D33:E33"/>
    <mergeCell ref="F33:G33"/>
    <mergeCell ref="A34:C34"/>
    <mergeCell ref="D34:E34"/>
    <mergeCell ref="F34:G34"/>
    <mergeCell ref="A31:C31"/>
    <mergeCell ref="D31:E31"/>
    <mergeCell ref="F31:G31"/>
    <mergeCell ref="A32:C32"/>
    <mergeCell ref="D32:E32"/>
    <mergeCell ref="F32:G32"/>
    <mergeCell ref="A29:C29"/>
    <mergeCell ref="D29:E29"/>
    <mergeCell ref="F29:G29"/>
    <mergeCell ref="A30:C30"/>
    <mergeCell ref="D30:E30"/>
    <mergeCell ref="F30:G30"/>
    <mergeCell ref="A27:C27"/>
    <mergeCell ref="D27:E27"/>
    <mergeCell ref="F27:G27"/>
    <mergeCell ref="A28:C28"/>
    <mergeCell ref="D28:E28"/>
    <mergeCell ref="F28:G28"/>
    <mergeCell ref="A24:I24"/>
    <mergeCell ref="A25:C25"/>
    <mergeCell ref="D25:E25"/>
    <mergeCell ref="F25:G25"/>
    <mergeCell ref="A26:C26"/>
    <mergeCell ref="D26:E26"/>
    <mergeCell ref="F26:G26"/>
    <mergeCell ref="A22:C22"/>
    <mergeCell ref="D22:E22"/>
    <mergeCell ref="F22:G22"/>
    <mergeCell ref="A23:C23"/>
    <mergeCell ref="D23:E23"/>
    <mergeCell ref="F23:G23"/>
    <mergeCell ref="A20:C20"/>
    <mergeCell ref="D20:E20"/>
    <mergeCell ref="F20:G20"/>
    <mergeCell ref="A21:C21"/>
    <mergeCell ref="D21:E21"/>
    <mergeCell ref="F21:G21"/>
    <mergeCell ref="A18:C18"/>
    <mergeCell ref="D18:E18"/>
    <mergeCell ref="F18:G18"/>
    <mergeCell ref="A19:C19"/>
    <mergeCell ref="D19:E19"/>
    <mergeCell ref="F19:G19"/>
    <mergeCell ref="A16:C16"/>
    <mergeCell ref="D16:E16"/>
    <mergeCell ref="F16:G16"/>
    <mergeCell ref="A17:C17"/>
    <mergeCell ref="D17:E17"/>
    <mergeCell ref="F17:G17"/>
    <mergeCell ref="A14:C14"/>
    <mergeCell ref="D14:E14"/>
    <mergeCell ref="F14:G14"/>
    <mergeCell ref="A15:C15"/>
    <mergeCell ref="D15:E15"/>
    <mergeCell ref="F15:G15"/>
    <mergeCell ref="A12:C12"/>
    <mergeCell ref="D12:E12"/>
    <mergeCell ref="F12:G12"/>
    <mergeCell ref="A13:C13"/>
    <mergeCell ref="D13:E13"/>
    <mergeCell ref="F13:G13"/>
    <mergeCell ref="A10:C10"/>
    <mergeCell ref="D10:E10"/>
    <mergeCell ref="F10:G10"/>
    <mergeCell ref="A11:C11"/>
    <mergeCell ref="D11:E11"/>
    <mergeCell ref="F11:G11"/>
    <mergeCell ref="A8:C8"/>
    <mergeCell ref="D8:E8"/>
    <mergeCell ref="F8:G8"/>
    <mergeCell ref="A9:C9"/>
    <mergeCell ref="D9:E9"/>
    <mergeCell ref="F9:G9"/>
    <mergeCell ref="A6:C6"/>
    <mergeCell ref="D6:E6"/>
    <mergeCell ref="F6:G6"/>
    <mergeCell ref="A7:C7"/>
    <mergeCell ref="D7:E7"/>
    <mergeCell ref="F7:G7"/>
    <mergeCell ref="A1:D1"/>
    <mergeCell ref="E1:I1"/>
    <mergeCell ref="E2:I2"/>
    <mergeCell ref="E3:I3"/>
    <mergeCell ref="A4:I4"/>
    <mergeCell ref="A5:C5"/>
    <mergeCell ref="D5:E5"/>
    <mergeCell ref="F5:G5"/>
  </mergeCells>
  <hyperlinks>
    <hyperlink ref="A22" location="_ftn1" display="_ftn1"/>
    <hyperlink ref="A55" location="_ftnref1" display="_ftnref1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4">
      <selection activeCell="F14" sqref="F14:G14"/>
    </sheetView>
  </sheetViews>
  <sheetFormatPr defaultColWidth="9.140625" defaultRowHeight="12.75"/>
  <cols>
    <col min="8" max="8" width="13.28125" style="0" customWidth="1"/>
    <col min="11" max="11" width="16.00390625" style="0" customWidth="1"/>
    <col min="12" max="12" width="18.140625" style="0" customWidth="1"/>
    <col min="13" max="13" width="14.57421875" style="0" customWidth="1"/>
  </cols>
  <sheetData>
    <row r="1" spans="1:9" ht="12.75">
      <c r="A1" s="132"/>
      <c r="B1" s="132"/>
      <c r="C1" s="132"/>
      <c r="D1" s="132"/>
      <c r="E1" s="133"/>
      <c r="F1" s="133"/>
      <c r="G1" s="133"/>
      <c r="H1" s="133"/>
      <c r="I1" s="133"/>
    </row>
    <row r="2" spans="1:9" ht="18" customHeight="1">
      <c r="A2" s="174" t="s">
        <v>34</v>
      </c>
      <c r="B2" s="174"/>
      <c r="C2" s="174"/>
      <c r="D2" s="174"/>
      <c r="E2" s="134" t="s">
        <v>0</v>
      </c>
      <c r="F2" s="134"/>
      <c r="G2" s="134"/>
      <c r="H2" s="134"/>
      <c r="I2" s="134"/>
    </row>
    <row r="3" spans="1:9" ht="25.5" customHeight="1">
      <c r="A3" s="175"/>
      <c r="B3" s="175"/>
      <c r="C3" s="175"/>
      <c r="D3" s="175"/>
      <c r="E3" s="134" t="s">
        <v>1</v>
      </c>
      <c r="F3" s="134"/>
      <c r="G3" s="134"/>
      <c r="H3" s="134"/>
      <c r="I3" s="134"/>
    </row>
    <row r="4" spans="1:9" ht="13.5" thickBot="1">
      <c r="A4" s="135"/>
      <c r="B4" s="135"/>
      <c r="C4" s="135"/>
      <c r="D4" s="135"/>
      <c r="E4" s="135"/>
      <c r="F4" s="135"/>
      <c r="G4" s="135"/>
      <c r="H4" s="135"/>
      <c r="I4" s="135"/>
    </row>
    <row r="5" spans="1:9" ht="13.5" thickBot="1">
      <c r="A5" s="136" t="s">
        <v>2</v>
      </c>
      <c r="B5" s="137"/>
      <c r="C5" s="138"/>
      <c r="D5" s="139" t="s">
        <v>40</v>
      </c>
      <c r="E5" s="140"/>
      <c r="F5" s="139" t="s">
        <v>41</v>
      </c>
      <c r="G5" s="140"/>
      <c r="H5" s="1" t="s">
        <v>42</v>
      </c>
      <c r="I5" s="1"/>
    </row>
    <row r="6" spans="1:9" ht="13.5" thickBot="1">
      <c r="A6" s="141" t="s">
        <v>3</v>
      </c>
      <c r="B6" s="142"/>
      <c r="C6" s="143"/>
      <c r="D6" s="144"/>
      <c r="E6" s="145"/>
      <c r="F6" s="144"/>
      <c r="G6" s="145"/>
      <c r="H6" s="3"/>
      <c r="I6" s="3"/>
    </row>
    <row r="7" spans="1:9" ht="13.5" thickBot="1">
      <c r="A7" s="146" t="s">
        <v>4</v>
      </c>
      <c r="B7" s="147"/>
      <c r="C7" s="148"/>
      <c r="D7" s="149">
        <f>D8+D9</f>
        <v>1140282.91</v>
      </c>
      <c r="E7" s="150"/>
      <c r="F7" s="149">
        <v>0</v>
      </c>
      <c r="G7" s="150"/>
      <c r="H7" s="14">
        <v>0</v>
      </c>
      <c r="I7" s="2"/>
    </row>
    <row r="8" spans="1:9" ht="25.5" customHeight="1" thickBot="1">
      <c r="A8" s="146" t="s">
        <v>5</v>
      </c>
      <c r="B8" s="147"/>
      <c r="C8" s="148"/>
      <c r="D8" s="149">
        <v>1140282.91</v>
      </c>
      <c r="E8" s="150"/>
      <c r="F8" s="149">
        <v>0</v>
      </c>
      <c r="G8" s="150"/>
      <c r="H8" s="14">
        <v>0</v>
      </c>
      <c r="I8" s="2"/>
    </row>
    <row r="9" spans="1:9" ht="13.5" thickBot="1">
      <c r="A9" s="151" t="s">
        <v>6</v>
      </c>
      <c r="B9" s="152"/>
      <c r="C9" s="153"/>
      <c r="D9" s="149">
        <v>0</v>
      </c>
      <c r="E9" s="150"/>
      <c r="F9" s="149">
        <f>#N/A</f>
        <v>0</v>
      </c>
      <c r="G9" s="150"/>
      <c r="H9" s="14">
        <f>#N/A</f>
        <v>0</v>
      </c>
      <c r="I9" s="2"/>
    </row>
    <row r="10" spans="1:9" ht="25.5" customHeight="1" thickBot="1">
      <c r="A10" s="146" t="s">
        <v>35</v>
      </c>
      <c r="B10" s="147"/>
      <c r="C10" s="148"/>
      <c r="D10" s="149">
        <f>D11-D19</f>
        <v>1208738.5</v>
      </c>
      <c r="E10" s="150"/>
      <c r="F10" s="149">
        <f>#N/A</f>
        <v>1208738.5</v>
      </c>
      <c r="G10" s="150"/>
      <c r="H10" s="14">
        <f>#N/A</f>
        <v>1208738.5</v>
      </c>
      <c r="I10" s="2"/>
    </row>
    <row r="11" spans="1:9" ht="13.5" thickBot="1">
      <c r="A11" s="146" t="s">
        <v>7</v>
      </c>
      <c r="B11" s="147"/>
      <c r="C11" s="148"/>
      <c r="D11" s="149">
        <f>SUM(D12:E15)</f>
        <v>458738.5</v>
      </c>
      <c r="E11" s="150"/>
      <c r="F11" s="149">
        <f>#N/A</f>
        <v>458738.5</v>
      </c>
      <c r="G11" s="150"/>
      <c r="H11" s="14">
        <f>#N/A</f>
        <v>458738.5</v>
      </c>
      <c r="I11" s="2"/>
    </row>
    <row r="12" spans="1:9" ht="25.5" customHeight="1" thickBot="1">
      <c r="A12" s="151" t="s">
        <v>8</v>
      </c>
      <c r="B12" s="152"/>
      <c r="C12" s="153"/>
      <c r="D12" s="149">
        <v>0</v>
      </c>
      <c r="E12" s="150"/>
      <c r="F12" s="149">
        <f>#N/A</f>
        <v>0</v>
      </c>
      <c r="G12" s="150"/>
      <c r="H12" s="14">
        <f>#N/A</f>
        <v>0</v>
      </c>
      <c r="I12" s="2"/>
    </row>
    <row r="13" spans="1:9" ht="13.5" thickBot="1">
      <c r="A13" s="151" t="s">
        <v>9</v>
      </c>
      <c r="B13" s="152"/>
      <c r="C13" s="153"/>
      <c r="D13" s="149">
        <v>0</v>
      </c>
      <c r="E13" s="150"/>
      <c r="F13" s="149">
        <f>#N/A</f>
        <v>0</v>
      </c>
      <c r="G13" s="150"/>
      <c r="H13" s="14">
        <f>#N/A</f>
        <v>0</v>
      </c>
      <c r="I13" s="2"/>
    </row>
    <row r="14" spans="1:9" ht="13.5" thickBot="1">
      <c r="A14" s="151" t="s">
        <v>10</v>
      </c>
      <c r="B14" s="152"/>
      <c r="C14" s="153"/>
      <c r="D14" s="149">
        <v>29041.14</v>
      </c>
      <c r="E14" s="150"/>
      <c r="F14" s="149">
        <f>#N/A</f>
        <v>29041.14</v>
      </c>
      <c r="G14" s="150"/>
      <c r="H14" s="14">
        <f>#N/A</f>
        <v>29041.14</v>
      </c>
      <c r="I14" s="2"/>
    </row>
    <row r="15" spans="1:9" ht="13.5" thickBot="1">
      <c r="A15" s="151" t="s">
        <v>11</v>
      </c>
      <c r="B15" s="152"/>
      <c r="C15" s="153"/>
      <c r="D15" s="149">
        <v>429697.36</v>
      </c>
      <c r="E15" s="150"/>
      <c r="F15" s="149">
        <f>#N/A</f>
        <v>429697.36</v>
      </c>
      <c r="G15" s="150"/>
      <c r="H15" s="14">
        <f>#N/A</f>
        <v>429697.36</v>
      </c>
      <c r="I15" s="2"/>
    </row>
    <row r="16" spans="1:9" ht="13.5" thickBot="1">
      <c r="A16" s="151" t="s">
        <v>12</v>
      </c>
      <c r="B16" s="152"/>
      <c r="C16" s="153"/>
      <c r="D16" s="149">
        <v>23425.22</v>
      </c>
      <c r="E16" s="150"/>
      <c r="F16" s="149">
        <f>#N/A</f>
        <v>23425.22</v>
      </c>
      <c r="G16" s="150"/>
      <c r="H16" s="14">
        <f>#N/A</f>
        <v>23425.22</v>
      </c>
      <c r="I16" s="2"/>
    </row>
    <row r="17" spans="1:13" ht="13.5" thickBot="1">
      <c r="A17" s="151" t="s">
        <v>13</v>
      </c>
      <c r="B17" s="152"/>
      <c r="C17" s="153"/>
      <c r="D17" s="149">
        <v>23655.22</v>
      </c>
      <c r="E17" s="150"/>
      <c r="F17" s="149">
        <f>#N/A</f>
        <v>23655.22</v>
      </c>
      <c r="G17" s="150"/>
      <c r="H17" s="14">
        <f>#N/A</f>
        <v>23655.22</v>
      </c>
      <c r="I17" s="2"/>
      <c r="K17" s="11"/>
      <c r="L17" s="11"/>
      <c r="M17" s="11"/>
    </row>
    <row r="18" spans="1:13" ht="27.75" customHeight="1" thickBot="1">
      <c r="A18" s="161" t="s">
        <v>39</v>
      </c>
      <c r="B18" s="162"/>
      <c r="C18" s="163"/>
      <c r="D18" s="185">
        <f>D7-D11</f>
        <v>681544.4099999999</v>
      </c>
      <c r="E18" s="186"/>
      <c r="F18" s="12"/>
      <c r="G18" s="13"/>
      <c r="H18" s="14"/>
      <c r="I18" s="2"/>
      <c r="K18" s="11"/>
      <c r="L18" s="11"/>
      <c r="M18" s="11"/>
    </row>
    <row r="19" spans="1:9" ht="13.5" thickBot="1">
      <c r="A19" s="146" t="s">
        <v>36</v>
      </c>
      <c r="B19" s="147"/>
      <c r="C19" s="148"/>
      <c r="D19" s="149">
        <f>D21-D20</f>
        <v>-750000</v>
      </c>
      <c r="E19" s="150"/>
      <c r="F19" s="149">
        <f>F21-F20</f>
        <v>2240.2400000000002</v>
      </c>
      <c r="G19" s="150"/>
      <c r="H19" s="14">
        <f>H21-H20</f>
        <v>216992.77</v>
      </c>
      <c r="I19" s="2"/>
    </row>
    <row r="20" spans="1:9" ht="13.5" thickBot="1">
      <c r="A20" s="151" t="s">
        <v>14</v>
      </c>
      <c r="B20" s="152"/>
      <c r="C20" s="153"/>
      <c r="D20" s="149">
        <v>850000</v>
      </c>
      <c r="E20" s="150"/>
      <c r="F20" s="149">
        <v>2069.02</v>
      </c>
      <c r="G20" s="150"/>
      <c r="H20" s="14">
        <v>4309.26</v>
      </c>
      <c r="I20" s="2"/>
    </row>
    <row r="21" spans="1:9" ht="13.5" thickBot="1">
      <c r="A21" s="151" t="s">
        <v>15</v>
      </c>
      <c r="B21" s="152"/>
      <c r="C21" s="153"/>
      <c r="D21" s="149">
        <v>100000</v>
      </c>
      <c r="E21" s="150"/>
      <c r="F21" s="149">
        <v>4309.26</v>
      </c>
      <c r="G21" s="150"/>
      <c r="H21" s="14">
        <v>221302.03</v>
      </c>
      <c r="I21" s="2"/>
    </row>
    <row r="22" spans="1:9" ht="13.5" thickBot="1">
      <c r="A22" s="146" t="s">
        <v>16</v>
      </c>
      <c r="B22" s="147"/>
      <c r="C22" s="148"/>
      <c r="D22" s="149">
        <f>D7-D10</f>
        <v>-68455.59000000008</v>
      </c>
      <c r="E22" s="150"/>
      <c r="F22" s="149">
        <f>F7-F10</f>
        <v>-1208738.5</v>
      </c>
      <c r="G22" s="150"/>
      <c r="H22" s="14">
        <f>H7-H10</f>
        <v>-1208738.5</v>
      </c>
      <c r="I22" s="2"/>
    </row>
    <row r="23" spans="1:9" ht="13.5" thickBot="1">
      <c r="A23" s="154" t="s">
        <v>17</v>
      </c>
      <c r="B23" s="155"/>
      <c r="C23" s="156"/>
      <c r="D23" s="149">
        <f>(5718.91+5797.27)</f>
        <v>11516.18</v>
      </c>
      <c r="E23" s="150"/>
      <c r="F23" s="149">
        <f>5786.99+5590.17</f>
        <v>11377.16</v>
      </c>
      <c r="G23" s="150"/>
      <c r="H23" s="14">
        <v>11377.16</v>
      </c>
      <c r="I23" s="2"/>
    </row>
    <row r="24" spans="1:9" ht="13.5" thickBot="1">
      <c r="A24" s="146" t="s">
        <v>37</v>
      </c>
      <c r="B24" s="147"/>
      <c r="C24" s="148"/>
      <c r="D24" s="149">
        <f>D22-D23</f>
        <v>-79971.77000000008</v>
      </c>
      <c r="E24" s="150"/>
      <c r="F24" s="149">
        <f>F22-F23</f>
        <v>-1220115.66</v>
      </c>
      <c r="G24" s="150"/>
      <c r="H24" s="14">
        <f>H22-H23</f>
        <v>-1220115.66</v>
      </c>
      <c r="I24" s="2"/>
    </row>
    <row r="25" spans="1:9" ht="15.75" thickBot="1">
      <c r="A25" s="157"/>
      <c r="B25" s="157"/>
      <c r="C25" s="157"/>
      <c r="D25" s="157"/>
      <c r="E25" s="157"/>
      <c r="F25" s="157"/>
      <c r="G25" s="157"/>
      <c r="H25" s="157"/>
      <c r="I25" s="157"/>
    </row>
    <row r="26" spans="1:9" ht="13.5" thickBot="1">
      <c r="A26" s="158" t="s">
        <v>2</v>
      </c>
      <c r="B26" s="159"/>
      <c r="C26" s="160"/>
      <c r="D26" s="139">
        <v>2008</v>
      </c>
      <c r="E26" s="140"/>
      <c r="F26" s="139">
        <v>2009</v>
      </c>
      <c r="G26" s="140"/>
      <c r="H26" s="4">
        <v>2010</v>
      </c>
      <c r="I26" s="4"/>
    </row>
    <row r="27" spans="1:9" ht="13.5" thickBot="1">
      <c r="A27" s="161" t="s">
        <v>18</v>
      </c>
      <c r="B27" s="162"/>
      <c r="C27" s="163"/>
      <c r="D27" s="149"/>
      <c r="E27" s="150"/>
      <c r="F27" s="149"/>
      <c r="G27" s="150"/>
      <c r="H27" s="14"/>
      <c r="I27" s="2"/>
    </row>
    <row r="28" spans="1:9" ht="13.5" thickBot="1">
      <c r="A28" s="146" t="s">
        <v>19</v>
      </c>
      <c r="B28" s="147"/>
      <c r="C28" s="148"/>
      <c r="D28" s="149">
        <f>D29+D30</f>
        <v>150000</v>
      </c>
      <c r="E28" s="150"/>
      <c r="F28" s="149">
        <f>F29+F30</f>
        <v>120000</v>
      </c>
      <c r="G28" s="150"/>
      <c r="H28" s="14">
        <f>H29+H30</f>
        <v>280000</v>
      </c>
      <c r="I28" s="2"/>
    </row>
    <row r="29" spans="1:9" ht="13.5" thickBot="1">
      <c r="A29" s="151" t="s">
        <v>20</v>
      </c>
      <c r="B29" s="152"/>
      <c r="C29" s="153"/>
      <c r="D29" s="149">
        <v>150000</v>
      </c>
      <c r="E29" s="150"/>
      <c r="F29" s="149">
        <v>120000</v>
      </c>
      <c r="G29" s="150"/>
      <c r="H29" s="14">
        <v>280000</v>
      </c>
      <c r="I29" s="2"/>
    </row>
    <row r="30" spans="1:9" ht="13.5" thickBot="1">
      <c r="A30" s="151" t="s">
        <v>21</v>
      </c>
      <c r="B30" s="152"/>
      <c r="C30" s="153"/>
      <c r="D30" s="149">
        <v>0</v>
      </c>
      <c r="E30" s="150"/>
      <c r="F30" s="149">
        <v>0</v>
      </c>
      <c r="G30" s="150"/>
      <c r="H30" s="14"/>
      <c r="I30" s="2"/>
    </row>
    <row r="31" spans="1:9" ht="13.5" thickBot="1">
      <c r="A31" s="146" t="s">
        <v>22</v>
      </c>
      <c r="B31" s="147"/>
      <c r="C31" s="148"/>
      <c r="D31" s="149">
        <f>D32+D33+D34</f>
        <v>520000</v>
      </c>
      <c r="E31" s="150"/>
      <c r="F31" s="149">
        <f>F32+F33+F34</f>
        <v>109309.26</v>
      </c>
      <c r="G31" s="150"/>
      <c r="H31" s="14">
        <f>H32+H34+H33</f>
        <v>492302.03</v>
      </c>
      <c r="I31" s="2"/>
    </row>
    <row r="32" spans="1:9" ht="13.5" thickBot="1">
      <c r="A32" s="146" t="s">
        <v>23</v>
      </c>
      <c r="B32" s="147"/>
      <c r="C32" s="148"/>
      <c r="D32" s="149">
        <v>220000</v>
      </c>
      <c r="E32" s="150"/>
      <c r="F32" s="149">
        <v>105000</v>
      </c>
      <c r="G32" s="150"/>
      <c r="H32" s="14">
        <v>11000</v>
      </c>
      <c r="I32" s="2"/>
    </row>
    <row r="33" spans="1:9" ht="13.5" thickBot="1">
      <c r="A33" s="146" t="s">
        <v>24</v>
      </c>
      <c r="B33" s="147"/>
      <c r="C33" s="148"/>
      <c r="D33" s="149">
        <f>D21</f>
        <v>100000</v>
      </c>
      <c r="E33" s="150"/>
      <c r="F33" s="149">
        <f>F21</f>
        <v>4309.26</v>
      </c>
      <c r="G33" s="150"/>
      <c r="H33" s="14">
        <f>H21</f>
        <v>221302.03</v>
      </c>
      <c r="I33" s="2"/>
    </row>
    <row r="34" spans="1:9" ht="13.5" thickBot="1">
      <c r="A34" s="146" t="s">
        <v>25</v>
      </c>
      <c r="B34" s="147"/>
      <c r="C34" s="148"/>
      <c r="D34" s="149">
        <v>200000</v>
      </c>
      <c r="E34" s="150"/>
      <c r="F34" s="149">
        <f>D34*F7/D7</f>
        <v>0</v>
      </c>
      <c r="G34" s="150"/>
      <c r="H34" s="14">
        <v>260000</v>
      </c>
      <c r="I34" s="2"/>
    </row>
    <row r="35" spans="1:9" ht="13.5" thickBot="1">
      <c r="A35" s="146" t="s">
        <v>26</v>
      </c>
      <c r="B35" s="147"/>
      <c r="C35" s="148"/>
      <c r="D35" s="149">
        <f>D28+D31</f>
        <v>670000</v>
      </c>
      <c r="E35" s="150"/>
      <c r="F35" s="149">
        <f>F28+F31</f>
        <v>229309.26</v>
      </c>
      <c r="G35" s="150"/>
      <c r="H35" s="14">
        <f>H31+H28</f>
        <v>772302.03</v>
      </c>
      <c r="I35" s="2"/>
    </row>
    <row r="36" spans="1:9" ht="13.5" thickBot="1">
      <c r="A36" s="161" t="s">
        <v>27</v>
      </c>
      <c r="B36" s="162"/>
      <c r="C36" s="163"/>
      <c r="D36" s="149"/>
      <c r="E36" s="150"/>
      <c r="F36" s="149"/>
      <c r="G36" s="150"/>
      <c r="H36" s="14"/>
      <c r="I36" s="2"/>
    </row>
    <row r="37" spans="1:9" ht="25.5" customHeight="1" thickBot="1">
      <c r="A37" s="146" t="s">
        <v>28</v>
      </c>
      <c r="B37" s="147"/>
      <c r="C37" s="148"/>
      <c r="D37" s="149">
        <v>0</v>
      </c>
      <c r="E37" s="150"/>
      <c r="F37" s="149">
        <v>0</v>
      </c>
      <c r="G37" s="150"/>
      <c r="H37" s="14">
        <v>0</v>
      </c>
      <c r="I37" s="2"/>
    </row>
    <row r="38" spans="1:9" ht="25.5" customHeight="1" thickBot="1">
      <c r="A38" s="146" t="s">
        <v>29</v>
      </c>
      <c r="B38" s="147"/>
      <c r="C38" s="148"/>
      <c r="D38" s="149">
        <v>54000</v>
      </c>
      <c r="E38" s="150"/>
      <c r="F38" s="149">
        <v>47000</v>
      </c>
      <c r="G38" s="150"/>
      <c r="H38" s="14">
        <v>35000</v>
      </c>
      <c r="I38" s="2"/>
    </row>
    <row r="39" spans="1:9" ht="25.5" customHeight="1" thickBot="1">
      <c r="A39" s="146" t="s">
        <v>30</v>
      </c>
      <c r="B39" s="147"/>
      <c r="C39" s="148"/>
      <c r="D39" s="149">
        <v>165000</v>
      </c>
      <c r="E39" s="150"/>
      <c r="F39" s="149">
        <v>89000</v>
      </c>
      <c r="G39" s="150"/>
      <c r="H39" s="14">
        <v>136000</v>
      </c>
      <c r="I39" s="2"/>
    </row>
    <row r="40" spans="1:9" ht="25.5" customHeight="1" thickBot="1">
      <c r="A40" s="146" t="s">
        <v>31</v>
      </c>
      <c r="B40" s="147"/>
      <c r="C40" s="148"/>
      <c r="D40" s="149">
        <v>0</v>
      </c>
      <c r="E40" s="150"/>
      <c r="F40" s="149">
        <v>0</v>
      </c>
      <c r="G40" s="150"/>
      <c r="H40" s="14">
        <v>350000</v>
      </c>
      <c r="I40" s="2"/>
    </row>
    <row r="41" spans="1:9" ht="25.5" customHeight="1" thickBot="1">
      <c r="A41" s="146" t="s">
        <v>32</v>
      </c>
      <c r="B41" s="147"/>
      <c r="C41" s="148"/>
      <c r="D41" s="149">
        <f>D37+D38+D39+D40</f>
        <v>219000</v>
      </c>
      <c r="E41" s="150"/>
      <c r="F41" s="149">
        <f>F37+F38+F39+F40</f>
        <v>136000</v>
      </c>
      <c r="G41" s="150"/>
      <c r="H41" s="15">
        <f>H40+H39+H38+H37</f>
        <v>521000</v>
      </c>
      <c r="I41" s="5"/>
    </row>
    <row r="42" spans="1:9" ht="38.25" customHeight="1">
      <c r="A42" s="164"/>
      <c r="B42" s="164"/>
      <c r="C42" s="164"/>
      <c r="D42" s="164"/>
      <c r="E42" s="164"/>
      <c r="F42" s="164"/>
      <c r="G42" s="164"/>
      <c r="H42" s="164"/>
      <c r="I42" s="164"/>
    </row>
    <row r="43" spans="1:9" ht="12.75">
      <c r="A43" s="169"/>
      <c r="B43" s="169"/>
      <c r="C43" s="169"/>
      <c r="D43" s="169"/>
      <c r="E43" s="169"/>
      <c r="F43" s="169"/>
      <c r="G43" s="169"/>
      <c r="H43" s="169"/>
      <c r="I43" s="169"/>
    </row>
    <row r="44" spans="1:9" ht="12.75">
      <c r="A44" s="170"/>
      <c r="B44" s="170"/>
      <c r="C44" s="170"/>
      <c r="D44" s="170"/>
      <c r="E44" s="170"/>
      <c r="F44" s="170"/>
      <c r="G44" s="170"/>
      <c r="H44" s="170"/>
      <c r="I44" s="170"/>
    </row>
    <row r="45" spans="1:9" ht="12.75" customHeight="1">
      <c r="A45" s="171"/>
      <c r="B45" s="171"/>
      <c r="C45" s="171"/>
      <c r="D45" s="171"/>
      <c r="E45" s="171"/>
      <c r="F45" s="171"/>
      <c r="G45" s="171"/>
      <c r="H45" s="171"/>
      <c r="I45" s="171"/>
    </row>
    <row r="46" spans="1:9" ht="13.5" thickBot="1">
      <c r="A46" s="172"/>
      <c r="B46" s="172"/>
      <c r="C46" s="172"/>
      <c r="D46" s="172"/>
      <c r="E46" s="172"/>
      <c r="F46" s="172"/>
      <c r="G46" s="172"/>
      <c r="H46" s="172"/>
      <c r="I46" s="172"/>
    </row>
    <row r="47" spans="1:9" ht="13.5" thickBot="1">
      <c r="A47" s="165"/>
      <c r="B47" s="166"/>
      <c r="C47" s="166"/>
      <c r="D47" s="166"/>
      <c r="E47" s="166"/>
      <c r="F47" s="166"/>
      <c r="G47" s="166"/>
      <c r="H47" s="166"/>
      <c r="I47" s="167"/>
    </row>
    <row r="48" spans="1:9" ht="13.5" thickBot="1">
      <c r="A48" s="166"/>
      <c r="B48" s="166"/>
      <c r="C48" s="166"/>
      <c r="D48" s="166"/>
      <c r="E48" s="166"/>
      <c r="F48" s="166"/>
      <c r="G48" s="166"/>
      <c r="H48" s="166"/>
      <c r="I48" s="166"/>
    </row>
    <row r="49" spans="1:9" ht="13.5" thickBot="1">
      <c r="A49" s="165"/>
      <c r="B49" s="166"/>
      <c r="C49" s="166"/>
      <c r="D49" s="166"/>
      <c r="E49" s="166"/>
      <c r="F49" s="166"/>
      <c r="G49" s="166"/>
      <c r="H49" s="166"/>
      <c r="I49" s="167"/>
    </row>
    <row r="50" spans="1:9" ht="13.5" thickBot="1">
      <c r="A50" s="168"/>
      <c r="B50" s="168"/>
      <c r="C50" s="168"/>
      <c r="D50" s="168"/>
      <c r="E50" s="168"/>
      <c r="F50" s="168"/>
      <c r="G50" s="168"/>
      <c r="H50" s="168"/>
      <c r="I50" s="168"/>
    </row>
    <row r="51" spans="1:9" ht="13.5" thickBot="1">
      <c r="A51" s="169"/>
      <c r="B51" s="169"/>
      <c r="C51" s="169"/>
      <c r="D51" s="169"/>
      <c r="E51" s="169"/>
      <c r="F51" s="176"/>
      <c r="G51" s="177"/>
      <c r="H51" s="168"/>
      <c r="I51" s="178"/>
    </row>
    <row r="52" spans="1:9" ht="13.5" thickBot="1">
      <c r="A52" s="8"/>
      <c r="B52" s="9"/>
      <c r="C52" s="179"/>
      <c r="D52" s="180"/>
      <c r="E52" s="180"/>
      <c r="F52" s="181"/>
      <c r="G52" s="182"/>
      <c r="H52" s="183"/>
      <c r="I52" s="184"/>
    </row>
    <row r="53" spans="1:9" ht="12.75">
      <c r="A53" s="7"/>
      <c r="B53" s="6"/>
      <c r="C53" s="169"/>
      <c r="D53" s="169"/>
      <c r="E53" s="169"/>
      <c r="F53" s="169"/>
      <c r="G53" s="173"/>
      <c r="H53" s="173"/>
      <c r="I53" s="173"/>
    </row>
    <row r="56" ht="12.75">
      <c r="A56" s="10" t="s">
        <v>33</v>
      </c>
    </row>
  </sheetData>
  <sheetProtection/>
  <mergeCells count="130">
    <mergeCell ref="A1:D1"/>
    <mergeCell ref="E1:I1"/>
    <mergeCell ref="A2:D2"/>
    <mergeCell ref="E2:I2"/>
    <mergeCell ref="A3:D3"/>
    <mergeCell ref="E3:I3"/>
    <mergeCell ref="A4:I4"/>
    <mergeCell ref="A5:C5"/>
    <mergeCell ref="D5:E5"/>
    <mergeCell ref="F5:G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0:C10"/>
    <mergeCell ref="D10:E10"/>
    <mergeCell ref="F10:G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C14"/>
    <mergeCell ref="D14:E14"/>
    <mergeCell ref="F14:G14"/>
    <mergeCell ref="A15:C15"/>
    <mergeCell ref="D15:E15"/>
    <mergeCell ref="F15:G15"/>
    <mergeCell ref="A16:C16"/>
    <mergeCell ref="D16:E16"/>
    <mergeCell ref="F16:G16"/>
    <mergeCell ref="A17:C17"/>
    <mergeCell ref="D17:E17"/>
    <mergeCell ref="F17:G17"/>
    <mergeCell ref="A18:C18"/>
    <mergeCell ref="D18:E18"/>
    <mergeCell ref="A19:C19"/>
    <mergeCell ref="D19:E19"/>
    <mergeCell ref="F19:G19"/>
    <mergeCell ref="A20:C20"/>
    <mergeCell ref="D20:E20"/>
    <mergeCell ref="F20:G20"/>
    <mergeCell ref="A21:C21"/>
    <mergeCell ref="D21:E21"/>
    <mergeCell ref="F21:G21"/>
    <mergeCell ref="A22:C22"/>
    <mergeCell ref="D22:E22"/>
    <mergeCell ref="F22:G22"/>
    <mergeCell ref="A23:C23"/>
    <mergeCell ref="D23:E23"/>
    <mergeCell ref="F23:G23"/>
    <mergeCell ref="A24:C24"/>
    <mergeCell ref="D24:E24"/>
    <mergeCell ref="F24:G24"/>
    <mergeCell ref="A25:I25"/>
    <mergeCell ref="A26:C26"/>
    <mergeCell ref="D26:E26"/>
    <mergeCell ref="F26:G26"/>
    <mergeCell ref="A27:C27"/>
    <mergeCell ref="D27:E27"/>
    <mergeCell ref="F27:G27"/>
    <mergeCell ref="A28:C28"/>
    <mergeCell ref="D28:E28"/>
    <mergeCell ref="F28:G28"/>
    <mergeCell ref="A29:C29"/>
    <mergeCell ref="D29:E29"/>
    <mergeCell ref="F29:G29"/>
    <mergeCell ref="A30:C30"/>
    <mergeCell ref="D30:E30"/>
    <mergeCell ref="F30:G30"/>
    <mergeCell ref="A31:C31"/>
    <mergeCell ref="D31:E31"/>
    <mergeCell ref="F31:G31"/>
    <mergeCell ref="A32:C32"/>
    <mergeCell ref="D32:E32"/>
    <mergeCell ref="F32:G32"/>
    <mergeCell ref="A33:C33"/>
    <mergeCell ref="D33:E33"/>
    <mergeCell ref="F33:G33"/>
    <mergeCell ref="A34:C34"/>
    <mergeCell ref="D34:E34"/>
    <mergeCell ref="F34:G34"/>
    <mergeCell ref="A35:C35"/>
    <mergeCell ref="D35:E35"/>
    <mergeCell ref="F35:G35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  <mergeCell ref="A40:C40"/>
    <mergeCell ref="D40:E40"/>
    <mergeCell ref="F40:G40"/>
    <mergeCell ref="A41:C41"/>
    <mergeCell ref="D41:E41"/>
    <mergeCell ref="F41:G41"/>
    <mergeCell ref="A42:I42"/>
    <mergeCell ref="A43:I43"/>
    <mergeCell ref="A44:I44"/>
    <mergeCell ref="A45:I45"/>
    <mergeCell ref="A46:I46"/>
    <mergeCell ref="A47:I47"/>
    <mergeCell ref="A48:I48"/>
    <mergeCell ref="A49:I49"/>
    <mergeCell ref="A50:I50"/>
    <mergeCell ref="A51:F51"/>
    <mergeCell ref="G51:I51"/>
    <mergeCell ref="C52:F52"/>
    <mergeCell ref="G52:I52"/>
    <mergeCell ref="C53:F53"/>
    <mergeCell ref="G53:I53"/>
  </mergeCells>
  <hyperlinks>
    <hyperlink ref="A23" location="_ftn1" display="_ftn1"/>
    <hyperlink ref="A56" location="_ftnref1" display="_ftnref1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103">
      <selection activeCell="H104" sqref="H104"/>
    </sheetView>
  </sheetViews>
  <sheetFormatPr defaultColWidth="9.140625" defaultRowHeight="12.75"/>
  <cols>
    <col min="1" max="1" width="43.140625" style="18" customWidth="1"/>
    <col min="2" max="2" width="17.57421875" style="0" customWidth="1"/>
    <col min="3" max="3" width="21.421875" style="0" customWidth="1"/>
  </cols>
  <sheetData>
    <row r="1" spans="1:6" ht="15">
      <c r="A1" s="21"/>
      <c r="B1" s="22" t="s">
        <v>43</v>
      </c>
      <c r="C1" s="23" t="s">
        <v>44</v>
      </c>
      <c r="D1" s="18"/>
      <c r="E1" s="18"/>
      <c r="F1" s="18"/>
    </row>
    <row r="2" spans="1:6" ht="15.75">
      <c r="A2" s="107" t="s">
        <v>131</v>
      </c>
      <c r="B2" s="20">
        <v>120000</v>
      </c>
      <c r="C2" s="25"/>
      <c r="D2" s="19"/>
      <c r="E2" s="19"/>
      <c r="F2" s="19"/>
    </row>
    <row r="3" spans="1:6" ht="15">
      <c r="A3" s="24" t="s">
        <v>45</v>
      </c>
      <c r="B3" s="20"/>
      <c r="C3" s="25">
        <v>90000</v>
      </c>
      <c r="D3" s="19"/>
      <c r="E3" s="19"/>
      <c r="F3" s="19"/>
    </row>
    <row r="4" spans="1:6" ht="15">
      <c r="A4" s="24" t="s">
        <v>46</v>
      </c>
      <c r="B4" s="20"/>
      <c r="C4" s="25">
        <v>30000</v>
      </c>
      <c r="D4" s="19"/>
      <c r="E4" s="19"/>
      <c r="F4" s="19"/>
    </row>
    <row r="5" spans="1:6" ht="15">
      <c r="A5" s="24"/>
      <c r="B5" s="20"/>
      <c r="C5" s="25"/>
      <c r="D5" s="19"/>
      <c r="E5" s="19"/>
      <c r="F5" s="19"/>
    </row>
    <row r="6" spans="1:6" ht="15">
      <c r="A6" s="24" t="s">
        <v>145</v>
      </c>
      <c r="B6" s="20">
        <v>30000</v>
      </c>
      <c r="C6" s="25"/>
      <c r="D6" s="19"/>
      <c r="E6" s="19"/>
      <c r="F6" s="19"/>
    </row>
    <row r="7" spans="1:6" ht="15">
      <c r="A7" s="24" t="s">
        <v>47</v>
      </c>
      <c r="B7" s="20"/>
      <c r="C7" s="25">
        <v>20000</v>
      </c>
      <c r="D7" s="19"/>
      <c r="E7" s="19"/>
      <c r="F7" s="19"/>
    </row>
    <row r="8" spans="1:6" ht="15">
      <c r="A8" s="24" t="s">
        <v>48</v>
      </c>
      <c r="B8" s="20"/>
      <c r="C8" s="25">
        <v>2000</v>
      </c>
      <c r="D8" s="19"/>
      <c r="E8" s="19"/>
      <c r="F8" s="19"/>
    </row>
    <row r="9" spans="1:6" ht="15">
      <c r="A9" s="24" t="s">
        <v>49</v>
      </c>
      <c r="B9" s="20"/>
      <c r="C9" s="25">
        <v>100</v>
      </c>
      <c r="D9" s="19"/>
      <c r="E9" s="19"/>
      <c r="F9" s="19"/>
    </row>
    <row r="10" spans="1:6" ht="15">
      <c r="A10" s="24" t="s">
        <v>50</v>
      </c>
      <c r="B10" s="20"/>
      <c r="C10" s="25">
        <v>150</v>
      </c>
      <c r="D10" s="19"/>
      <c r="E10" s="19"/>
      <c r="F10" s="19"/>
    </row>
    <row r="11" spans="1:6" ht="15">
      <c r="A11" s="24" t="s">
        <v>38</v>
      </c>
      <c r="B11" s="20"/>
      <c r="C11" s="25">
        <v>400</v>
      </c>
      <c r="D11" s="19"/>
      <c r="E11" s="19"/>
      <c r="F11" s="19"/>
    </row>
    <row r="12" spans="1:6" ht="15">
      <c r="A12" s="104" t="s">
        <v>71</v>
      </c>
      <c r="B12" s="105"/>
      <c r="C12" s="106">
        <f>C3/10/12</f>
        <v>750</v>
      </c>
      <c r="D12" s="19"/>
      <c r="E12" s="19"/>
      <c r="F12" s="19"/>
    </row>
    <row r="13" spans="1:6" ht="15.75" thickBot="1">
      <c r="A13" s="88" t="s">
        <v>51</v>
      </c>
      <c r="B13" s="89"/>
      <c r="C13" s="90">
        <v>350</v>
      </c>
      <c r="D13" s="19"/>
      <c r="E13" s="19"/>
      <c r="F13" s="19"/>
    </row>
    <row r="14" spans="2:6" ht="15.75" thickTop="1">
      <c r="B14" s="86">
        <f>#N/A</f>
        <v>30000</v>
      </c>
      <c r="C14" s="87">
        <f>SUM(C7:C13)</f>
        <v>23750</v>
      </c>
      <c r="D14" s="19"/>
      <c r="E14" s="19"/>
      <c r="F14" s="19"/>
    </row>
    <row r="15" spans="1:6" ht="20.25">
      <c r="A15" s="92" t="s">
        <v>117</v>
      </c>
      <c r="B15" s="20"/>
      <c r="C15" s="91">
        <f>B14-C14</f>
        <v>6250</v>
      </c>
      <c r="D15" s="19"/>
      <c r="E15" s="19"/>
      <c r="F15" s="19"/>
    </row>
    <row r="16" spans="1:6" s="85" customFormat="1" ht="15">
      <c r="A16" s="81" t="s">
        <v>54</v>
      </c>
      <c r="B16" s="82"/>
      <c r="C16" s="83">
        <v>3000</v>
      </c>
      <c r="D16" s="84"/>
      <c r="E16" s="84"/>
      <c r="F16" s="84"/>
    </row>
    <row r="17" spans="1:6" ht="15">
      <c r="A17" s="24" t="s">
        <v>132</v>
      </c>
      <c r="B17" s="20"/>
      <c r="C17" s="25">
        <f>C15-C16+C12</f>
        <v>4000</v>
      </c>
      <c r="D17" s="19"/>
      <c r="E17" s="19"/>
      <c r="F17" s="19"/>
    </row>
    <row r="18" spans="1:6" ht="15">
      <c r="A18" s="24"/>
      <c r="B18" s="20"/>
      <c r="C18" s="25"/>
      <c r="D18" s="19"/>
      <c r="E18" s="19"/>
      <c r="F18" s="19"/>
    </row>
    <row r="19" spans="2:6" ht="15">
      <c r="B19" s="19"/>
      <c r="C19" s="19"/>
      <c r="D19" s="19"/>
      <c r="E19" s="19"/>
      <c r="F19" s="19"/>
    </row>
    <row r="20" spans="2:6" ht="15">
      <c r="B20" s="19"/>
      <c r="C20" s="19"/>
      <c r="D20" s="19"/>
      <c r="E20" s="19"/>
      <c r="F20" s="19"/>
    </row>
    <row r="21" spans="2:6" ht="15">
      <c r="B21" s="19"/>
      <c r="C21" s="19"/>
      <c r="D21" s="19"/>
      <c r="E21" s="19"/>
      <c r="F21" s="19"/>
    </row>
    <row r="22" spans="2:6" ht="15.75" thickBot="1">
      <c r="B22" s="19"/>
      <c r="C22" s="19"/>
      <c r="D22" s="19"/>
      <c r="E22" s="19"/>
      <c r="F22" s="19"/>
    </row>
    <row r="23" spans="1:6" ht="15">
      <c r="A23" s="21"/>
      <c r="B23" s="22" t="s">
        <v>43</v>
      </c>
      <c r="C23" s="23" t="s">
        <v>44</v>
      </c>
      <c r="D23" s="19"/>
      <c r="E23" s="19"/>
      <c r="F23" s="19"/>
    </row>
    <row r="24" spans="1:6" ht="15.75">
      <c r="A24" s="107" t="s">
        <v>142</v>
      </c>
      <c r="B24" s="20">
        <v>120000</v>
      </c>
      <c r="C24" s="25"/>
      <c r="D24" s="19"/>
      <c r="E24" s="19"/>
      <c r="F24" s="19"/>
    </row>
    <row r="25" spans="1:6" ht="15">
      <c r="A25" s="24" t="s">
        <v>45</v>
      </c>
      <c r="B25" s="20"/>
      <c r="C25" s="25">
        <v>90000</v>
      </c>
      <c r="D25" s="19"/>
      <c r="E25" s="19"/>
      <c r="F25" s="19"/>
    </row>
    <row r="26" spans="1:6" ht="15">
      <c r="A26" s="24" t="s">
        <v>46</v>
      </c>
      <c r="B26" s="20"/>
      <c r="C26" s="25">
        <v>30000</v>
      </c>
      <c r="D26" s="19"/>
      <c r="E26" s="19"/>
      <c r="F26" s="19"/>
    </row>
    <row r="27" spans="1:6" ht="15">
      <c r="A27" s="24"/>
      <c r="B27" s="20"/>
      <c r="C27" s="25"/>
      <c r="D27" s="19"/>
      <c r="E27" s="19"/>
      <c r="F27" s="19"/>
    </row>
    <row r="28" spans="1:6" ht="15">
      <c r="A28" s="24" t="s">
        <v>145</v>
      </c>
      <c r="B28" s="20">
        <v>30000</v>
      </c>
      <c r="C28" s="25"/>
      <c r="D28" s="18"/>
      <c r="E28" s="18"/>
      <c r="F28" s="18"/>
    </row>
    <row r="29" spans="1:6" ht="15">
      <c r="A29" s="24" t="s">
        <v>47</v>
      </c>
      <c r="B29" s="20"/>
      <c r="C29" s="25">
        <v>20000</v>
      </c>
      <c r="D29" s="18"/>
      <c r="E29" s="18"/>
      <c r="F29" s="18"/>
    </row>
    <row r="30" spans="1:6" ht="15">
      <c r="A30" s="24" t="s">
        <v>48</v>
      </c>
      <c r="B30" s="20"/>
      <c r="C30" s="25">
        <v>2000</v>
      </c>
      <c r="D30" s="18"/>
      <c r="E30" s="18"/>
      <c r="F30" s="18"/>
    </row>
    <row r="31" spans="1:6" ht="15">
      <c r="A31" s="24" t="s">
        <v>49</v>
      </c>
      <c r="B31" s="20"/>
      <c r="C31" s="25">
        <v>100</v>
      </c>
      <c r="D31" s="18"/>
      <c r="E31" s="18"/>
      <c r="F31" s="18"/>
    </row>
    <row r="32" spans="1:6" ht="15">
      <c r="A32" s="24" t="s">
        <v>50</v>
      </c>
      <c r="B32" s="20"/>
      <c r="C32" s="25">
        <v>150</v>
      </c>
      <c r="D32" s="18"/>
      <c r="E32" s="18"/>
      <c r="F32" s="18"/>
    </row>
    <row r="33" spans="1:6" ht="15">
      <c r="A33" s="24" t="s">
        <v>38</v>
      </c>
      <c r="B33" s="20"/>
      <c r="C33" s="25">
        <v>400</v>
      </c>
      <c r="D33" s="18"/>
      <c r="E33" s="18"/>
      <c r="F33" s="18"/>
    </row>
    <row r="34" spans="1:3" ht="15">
      <c r="A34" s="104" t="s">
        <v>71</v>
      </c>
      <c r="B34" s="105"/>
      <c r="C34" s="106">
        <f>C25/10/12</f>
        <v>750</v>
      </c>
    </row>
    <row r="35" spans="1:3" ht="15.75" thickBot="1">
      <c r="A35" s="88" t="s">
        <v>51</v>
      </c>
      <c r="B35" s="89"/>
      <c r="C35" s="90">
        <v>350</v>
      </c>
    </row>
    <row r="36" spans="2:3" ht="15.75" thickTop="1">
      <c r="B36" s="86">
        <f>#N/A</f>
        <v>30000</v>
      </c>
      <c r="C36" s="87">
        <f>SUM(C29:C35)</f>
        <v>23750</v>
      </c>
    </row>
    <row r="37" spans="1:3" s="85" customFormat="1" ht="20.25">
      <c r="A37" s="92" t="s">
        <v>117</v>
      </c>
      <c r="B37" s="20"/>
      <c r="C37" s="91">
        <f>B36-C36</f>
        <v>6250</v>
      </c>
    </row>
    <row r="38" spans="1:3" s="85" customFormat="1" ht="15">
      <c r="A38" s="81" t="s">
        <v>54</v>
      </c>
      <c r="B38" s="82"/>
      <c r="C38" s="83">
        <v>3000</v>
      </c>
    </row>
    <row r="39" spans="1:3" s="85" customFormat="1" ht="15">
      <c r="A39" s="24" t="s">
        <v>132</v>
      </c>
      <c r="B39" s="20"/>
      <c r="C39" s="25">
        <v>-750</v>
      </c>
    </row>
    <row r="40" spans="1:3" ht="15">
      <c r="A40" s="24" t="s">
        <v>133</v>
      </c>
      <c r="B40" s="20"/>
      <c r="C40" s="25">
        <f>B24/100</f>
        <v>1200</v>
      </c>
    </row>
    <row r="41" spans="1:3" ht="15">
      <c r="A41" s="24" t="s">
        <v>53</v>
      </c>
      <c r="B41" s="20"/>
      <c r="C41" s="25">
        <v>5000</v>
      </c>
    </row>
    <row r="42" spans="1:3" ht="15">
      <c r="A42" s="24" t="s">
        <v>52</v>
      </c>
      <c r="B42" s="20">
        <f>B36</f>
        <v>30000</v>
      </c>
      <c r="C42" s="26">
        <f>C36+C38+C39+C40+C41</f>
        <v>32200</v>
      </c>
    </row>
    <row r="43" spans="1:3" s="30" customFormat="1" ht="16.5" thickBot="1">
      <c r="A43" s="28" t="s">
        <v>136</v>
      </c>
      <c r="B43" s="29"/>
      <c r="C43" s="27">
        <f>B42-C42</f>
        <v>-2200</v>
      </c>
    </row>
    <row r="46" ht="15.75" thickBot="1"/>
    <row r="47" spans="1:3" ht="15">
      <c r="A47" s="21"/>
      <c r="B47" s="22" t="s">
        <v>43</v>
      </c>
      <c r="C47" s="23" t="s">
        <v>44</v>
      </c>
    </row>
    <row r="48" spans="1:3" ht="15.75">
      <c r="A48" s="107" t="s">
        <v>143</v>
      </c>
      <c r="B48" s="20">
        <v>120000</v>
      </c>
      <c r="C48" s="25"/>
    </row>
    <row r="49" spans="1:3" ht="15">
      <c r="A49" s="24" t="s">
        <v>45</v>
      </c>
      <c r="B49" s="20"/>
      <c r="C49" s="25">
        <v>90000</v>
      </c>
    </row>
    <row r="50" spans="1:3" ht="15">
      <c r="A50" s="24" t="s">
        <v>46</v>
      </c>
      <c r="B50" s="20"/>
      <c r="C50" s="25">
        <v>30000</v>
      </c>
    </row>
    <row r="51" spans="1:3" ht="15">
      <c r="A51" s="24"/>
      <c r="B51" s="20"/>
      <c r="C51" s="25"/>
    </row>
    <row r="52" spans="1:3" ht="15">
      <c r="A52" s="24" t="s">
        <v>145</v>
      </c>
      <c r="B52" s="20">
        <v>30000</v>
      </c>
      <c r="C52" s="25"/>
    </row>
    <row r="53" spans="1:3" ht="15">
      <c r="A53" s="24" t="s">
        <v>47</v>
      </c>
      <c r="B53" s="20"/>
      <c r="C53" s="25">
        <v>20000</v>
      </c>
    </row>
    <row r="54" spans="1:3" ht="15">
      <c r="A54" s="24" t="s">
        <v>48</v>
      </c>
      <c r="B54" s="20"/>
      <c r="C54" s="25">
        <v>2000</v>
      </c>
    </row>
    <row r="55" spans="1:3" ht="15">
      <c r="A55" s="24" t="s">
        <v>49</v>
      </c>
      <c r="B55" s="20"/>
      <c r="C55" s="25">
        <v>100</v>
      </c>
    </row>
    <row r="56" spans="1:3" ht="15">
      <c r="A56" s="24" t="s">
        <v>50</v>
      </c>
      <c r="B56" s="20"/>
      <c r="C56" s="25">
        <v>150</v>
      </c>
    </row>
    <row r="57" spans="1:3" ht="15">
      <c r="A57" s="24" t="s">
        <v>38</v>
      </c>
      <c r="B57" s="20"/>
      <c r="C57" s="25">
        <v>400</v>
      </c>
    </row>
    <row r="58" spans="1:3" ht="15">
      <c r="A58" s="104" t="s">
        <v>71</v>
      </c>
      <c r="B58" s="105"/>
      <c r="C58" s="106">
        <f>C49/10/12</f>
        <v>750</v>
      </c>
    </row>
    <row r="59" spans="1:3" ht="15.75" thickBot="1">
      <c r="A59" s="88" t="s">
        <v>51</v>
      </c>
      <c r="B59" s="89"/>
      <c r="C59" s="90">
        <v>350</v>
      </c>
    </row>
    <row r="60" spans="2:3" ht="15.75" thickTop="1">
      <c r="B60" s="86">
        <f>#N/A</f>
        <v>30000</v>
      </c>
      <c r="C60" s="87">
        <f>SUM(C53:C59)</f>
        <v>23750</v>
      </c>
    </row>
    <row r="61" spans="1:3" ht="20.25">
      <c r="A61" s="92" t="s">
        <v>117</v>
      </c>
      <c r="B61" s="20"/>
      <c r="C61" s="91">
        <f>B60-C60</f>
        <v>6250</v>
      </c>
    </row>
    <row r="62" spans="1:3" ht="15">
      <c r="A62" s="81" t="s">
        <v>54</v>
      </c>
      <c r="B62" s="82"/>
      <c r="C62" s="83">
        <v>3000</v>
      </c>
    </row>
    <row r="63" spans="1:3" ht="15">
      <c r="A63" s="24" t="s">
        <v>132</v>
      </c>
      <c r="B63" s="20"/>
      <c r="C63" s="25">
        <f>-C58</f>
        <v>-750</v>
      </c>
    </row>
    <row r="64" spans="1:3" ht="15">
      <c r="A64" s="24" t="s">
        <v>133</v>
      </c>
      <c r="B64" s="20"/>
      <c r="C64" s="25">
        <f>B48/100</f>
        <v>1200</v>
      </c>
    </row>
    <row r="65" spans="1:3" ht="15">
      <c r="A65" s="24" t="s">
        <v>56</v>
      </c>
      <c r="B65" s="20"/>
      <c r="C65" s="25">
        <v>2000</v>
      </c>
    </row>
    <row r="66" spans="1:3" ht="15">
      <c r="A66" s="24" t="s">
        <v>52</v>
      </c>
      <c r="B66" s="20">
        <f>B60</f>
        <v>30000</v>
      </c>
      <c r="C66" s="26">
        <f>SUM(C60:C65)-C61</f>
        <v>29200</v>
      </c>
    </row>
    <row r="67" spans="1:3" ht="16.5" thickBot="1">
      <c r="A67" s="28" t="s">
        <v>136</v>
      </c>
      <c r="B67" s="29"/>
      <c r="C67" s="27">
        <f>B66-C66</f>
        <v>800</v>
      </c>
    </row>
    <row r="71" ht="15.75" thickBot="1"/>
    <row r="72" spans="1:3" ht="15">
      <c r="A72" s="21" t="s">
        <v>134</v>
      </c>
      <c r="B72" s="22" t="s">
        <v>43</v>
      </c>
      <c r="C72" s="23" t="s">
        <v>44</v>
      </c>
    </row>
    <row r="73" spans="1:3" ht="15.75">
      <c r="A73" s="107" t="s">
        <v>144</v>
      </c>
      <c r="B73" s="20">
        <v>120000</v>
      </c>
      <c r="C73" s="25"/>
    </row>
    <row r="74" spans="1:3" ht="15">
      <c r="A74" s="24" t="s">
        <v>45</v>
      </c>
      <c r="B74" s="20"/>
      <c r="C74" s="25">
        <v>90000</v>
      </c>
    </row>
    <row r="75" spans="1:3" ht="15">
      <c r="A75" s="24" t="s">
        <v>46</v>
      </c>
      <c r="B75" s="20"/>
      <c r="C75" s="25">
        <v>30000</v>
      </c>
    </row>
    <row r="76" spans="1:3" ht="15">
      <c r="A76" s="24"/>
      <c r="B76" s="20"/>
      <c r="C76" s="25"/>
    </row>
    <row r="77" spans="1:3" ht="15">
      <c r="A77" s="24" t="s">
        <v>145</v>
      </c>
      <c r="B77" s="20">
        <v>30000</v>
      </c>
      <c r="C77" s="25"/>
    </row>
    <row r="78" spans="1:3" ht="15">
      <c r="A78" s="24" t="s">
        <v>47</v>
      </c>
      <c r="B78" s="20"/>
      <c r="C78" s="25">
        <v>20000</v>
      </c>
    </row>
    <row r="79" spans="1:3" ht="15">
      <c r="A79" s="24" t="s">
        <v>48</v>
      </c>
      <c r="B79" s="20"/>
      <c r="C79" s="25">
        <v>2000</v>
      </c>
    </row>
    <row r="80" spans="1:3" ht="15">
      <c r="A80" s="24" t="s">
        <v>49</v>
      </c>
      <c r="B80" s="20"/>
      <c r="C80" s="25">
        <v>100</v>
      </c>
    </row>
    <row r="81" spans="1:3" ht="15">
      <c r="A81" s="24" t="s">
        <v>50</v>
      </c>
      <c r="B81" s="20"/>
      <c r="C81" s="25">
        <v>150</v>
      </c>
    </row>
    <row r="82" spans="1:3" ht="15">
      <c r="A82" s="24" t="s">
        <v>38</v>
      </c>
      <c r="B82" s="20"/>
      <c r="C82" s="25">
        <v>400</v>
      </c>
    </row>
    <row r="83" spans="1:3" ht="15">
      <c r="A83" s="104" t="s">
        <v>71</v>
      </c>
      <c r="B83" s="105"/>
      <c r="C83" s="106">
        <f>C74/10/12</f>
        <v>750</v>
      </c>
    </row>
    <row r="84" spans="1:3" ht="15.75" thickBot="1">
      <c r="A84" s="88" t="s">
        <v>51</v>
      </c>
      <c r="B84" s="89"/>
      <c r="C84" s="90">
        <v>350</v>
      </c>
    </row>
    <row r="85" spans="2:3" ht="15.75" thickTop="1">
      <c r="B85" s="86">
        <f>#N/A</f>
        <v>30000</v>
      </c>
      <c r="C85" s="87">
        <f>SUM(C78:C84)+C75</f>
        <v>53750</v>
      </c>
    </row>
    <row r="86" spans="1:3" ht="20.25">
      <c r="A86" s="92" t="s">
        <v>117</v>
      </c>
      <c r="B86" s="20"/>
      <c r="C86" s="91">
        <f>B85-C85</f>
        <v>-23750</v>
      </c>
    </row>
    <row r="87" spans="1:3" ht="15">
      <c r="A87" s="81" t="s">
        <v>54</v>
      </c>
      <c r="B87" s="82"/>
      <c r="C87" s="83"/>
    </row>
    <row r="88" spans="1:3" ht="15">
      <c r="A88" s="24" t="s">
        <v>132</v>
      </c>
      <c r="B88" s="20"/>
      <c r="C88" s="25"/>
    </row>
    <row r="89" spans="1:3" ht="15">
      <c r="A89" s="24" t="s">
        <v>133</v>
      </c>
      <c r="B89" s="20"/>
      <c r="C89" s="25">
        <f>B73/100</f>
        <v>1200</v>
      </c>
    </row>
    <row r="90" spans="1:3" ht="15">
      <c r="A90" s="24" t="s">
        <v>56</v>
      </c>
      <c r="B90" s="20"/>
      <c r="C90" s="25"/>
    </row>
    <row r="91" spans="1:3" ht="15">
      <c r="A91" s="24" t="s">
        <v>52</v>
      </c>
      <c r="B91" s="20">
        <f>B85</f>
        <v>30000</v>
      </c>
      <c r="C91" s="26">
        <f>C85+C89</f>
        <v>54950</v>
      </c>
    </row>
    <row r="92" spans="1:3" ht="16.5" thickBot="1">
      <c r="A92" s="28" t="s">
        <v>135</v>
      </c>
      <c r="B92" s="29"/>
      <c r="C92" s="27">
        <f>B91-C91</f>
        <v>-24950</v>
      </c>
    </row>
    <row r="96" ht="15.75" thickBot="1"/>
    <row r="97" spans="1:3" ht="15.75">
      <c r="A97" s="108" t="s">
        <v>137</v>
      </c>
      <c r="B97" s="22" t="s">
        <v>43</v>
      </c>
      <c r="C97" s="23" t="s">
        <v>44</v>
      </c>
    </row>
    <row r="98" spans="1:3" ht="15.75">
      <c r="A98" s="107"/>
      <c r="B98" s="20">
        <v>120000</v>
      </c>
      <c r="C98" s="25"/>
    </row>
    <row r="99" spans="1:3" ht="15">
      <c r="A99" s="24" t="s">
        <v>45</v>
      </c>
      <c r="B99" s="20"/>
      <c r="C99" s="25">
        <v>90000</v>
      </c>
    </row>
    <row r="100" spans="1:3" ht="15">
      <c r="A100" s="24" t="s">
        <v>46</v>
      </c>
      <c r="B100" s="110"/>
      <c r="C100" s="114">
        <v>30000</v>
      </c>
    </row>
    <row r="101" spans="1:3" ht="15">
      <c r="A101" s="24"/>
      <c r="B101" s="110"/>
      <c r="C101" s="114"/>
    </row>
    <row r="102" spans="1:3" ht="15">
      <c r="A102" s="118" t="s">
        <v>151</v>
      </c>
      <c r="B102" s="110">
        <v>30000</v>
      </c>
      <c r="C102" s="114"/>
    </row>
    <row r="103" spans="1:3" ht="15">
      <c r="A103" s="24" t="s">
        <v>47</v>
      </c>
      <c r="B103" s="110"/>
      <c r="C103" s="114">
        <v>20000</v>
      </c>
    </row>
    <row r="104" spans="1:3" ht="15">
      <c r="A104" s="24" t="s">
        <v>48</v>
      </c>
      <c r="B104" s="110"/>
      <c r="C104" s="114">
        <v>2000</v>
      </c>
    </row>
    <row r="105" spans="1:3" ht="15">
      <c r="A105" s="24" t="s">
        <v>49</v>
      </c>
      <c r="B105" s="110"/>
      <c r="C105" s="114">
        <v>100</v>
      </c>
    </row>
    <row r="106" spans="1:3" ht="15">
      <c r="A106" s="24" t="s">
        <v>50</v>
      </c>
      <c r="B106" s="110"/>
      <c r="C106" s="114">
        <v>150</v>
      </c>
    </row>
    <row r="107" spans="1:3" ht="15">
      <c r="A107" s="24" t="s">
        <v>38</v>
      </c>
      <c r="B107" s="110"/>
      <c r="C107" s="114">
        <v>400</v>
      </c>
    </row>
    <row r="108" spans="1:3" ht="15">
      <c r="A108" s="104" t="s">
        <v>71</v>
      </c>
      <c r="B108" s="111"/>
      <c r="C108" s="115">
        <f>C99/10/12</f>
        <v>750</v>
      </c>
    </row>
    <row r="109" spans="1:3" ht="15.75" thickBot="1">
      <c r="A109" s="104" t="s">
        <v>51</v>
      </c>
      <c r="B109" s="112"/>
      <c r="C109" s="116">
        <v>350</v>
      </c>
    </row>
    <row r="110" spans="1:3" ht="15.75" thickTop="1">
      <c r="A110" s="122" t="s">
        <v>140</v>
      </c>
      <c r="B110" s="113">
        <v>30000</v>
      </c>
      <c r="C110" s="117">
        <v>23750</v>
      </c>
    </row>
    <row r="111" spans="1:3" ht="15">
      <c r="A111" s="109" t="s">
        <v>141</v>
      </c>
      <c r="B111" s="113">
        <v>30000</v>
      </c>
      <c r="C111" s="117">
        <v>23750</v>
      </c>
    </row>
    <row r="112" spans="1:3" ht="15">
      <c r="A112" s="109" t="s">
        <v>139</v>
      </c>
      <c r="B112" s="113">
        <v>30000</v>
      </c>
      <c r="C112" s="117">
        <v>23750</v>
      </c>
    </row>
    <row r="113" spans="1:3" ht="15">
      <c r="A113" s="109" t="s">
        <v>138</v>
      </c>
      <c r="B113" s="113">
        <v>30000</v>
      </c>
      <c r="C113" s="117">
        <v>23750</v>
      </c>
    </row>
    <row r="114" spans="2:3" ht="20.25">
      <c r="B114" s="20">
        <f>SUM(B110:B113)+B102</f>
        <v>150000</v>
      </c>
      <c r="C114" s="91">
        <f>SUM(C102:C113)+C100</f>
        <v>148750</v>
      </c>
    </row>
    <row r="115" spans="1:3" ht="20.25">
      <c r="A115" s="92" t="s">
        <v>117</v>
      </c>
      <c r="B115" s="82"/>
      <c r="C115" s="119">
        <f>B114-C114</f>
        <v>1250</v>
      </c>
    </row>
    <row r="116" spans="1:3" ht="20.25">
      <c r="A116" s="24" t="s">
        <v>146</v>
      </c>
      <c r="B116" s="20"/>
      <c r="C116" s="121">
        <v>30000</v>
      </c>
    </row>
    <row r="117" spans="1:3" ht="15">
      <c r="A117" s="24"/>
      <c r="B117" s="20"/>
      <c r="C117" s="25"/>
    </row>
    <row r="118" spans="1:3" ht="15">
      <c r="A118" s="24"/>
      <c r="B118" s="20"/>
      <c r="C118" s="25"/>
    </row>
    <row r="119" spans="1:3" ht="15">
      <c r="A119" s="24" t="s">
        <v>52</v>
      </c>
      <c r="B119" s="20">
        <f>B114</f>
        <v>150000</v>
      </c>
      <c r="C119" s="26">
        <f>C114-C116</f>
        <v>118750</v>
      </c>
    </row>
    <row r="120" spans="1:3" ht="21" thickBot="1">
      <c r="A120" s="28" t="s">
        <v>135</v>
      </c>
      <c r="B120" s="29"/>
      <c r="C120" s="120">
        <f>B119-C119</f>
        <v>31250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9.421875" style="0" customWidth="1"/>
    <col min="2" max="2" width="15.00390625" style="11" customWidth="1"/>
    <col min="3" max="3" width="15.140625" style="11" customWidth="1"/>
  </cols>
  <sheetData>
    <row r="1" spans="1:3" ht="12.75">
      <c r="A1" s="33"/>
      <c r="B1" s="34" t="s">
        <v>58</v>
      </c>
      <c r="C1" s="35" t="s">
        <v>44</v>
      </c>
    </row>
    <row r="2" spans="1:3" ht="12.75">
      <c r="A2" s="36"/>
      <c r="B2" s="31">
        <v>369000</v>
      </c>
      <c r="C2" s="37">
        <v>320000</v>
      </c>
    </row>
    <row r="3" spans="1:3" ht="18">
      <c r="A3" s="24" t="s">
        <v>57</v>
      </c>
      <c r="B3" s="31"/>
      <c r="C3" s="45">
        <f>B2-C2</f>
        <v>49000</v>
      </c>
    </row>
    <row r="4" spans="1:3" ht="12.75">
      <c r="A4" s="130" t="s">
        <v>168</v>
      </c>
      <c r="B4" s="31"/>
      <c r="C4" s="37">
        <f>C3*0.18</f>
        <v>8820</v>
      </c>
    </row>
    <row r="5" spans="1:3" ht="12.75">
      <c r="A5" s="39" t="s">
        <v>59</v>
      </c>
      <c r="B5" s="31"/>
      <c r="C5" s="37"/>
    </row>
    <row r="6" spans="1:3" ht="12.75">
      <c r="A6" s="39" t="s">
        <v>60</v>
      </c>
      <c r="B6" s="31"/>
      <c r="C6" s="37">
        <v>3100</v>
      </c>
    </row>
    <row r="7" spans="1:3" ht="12.75">
      <c r="A7" s="39" t="s">
        <v>61</v>
      </c>
      <c r="B7" s="31"/>
      <c r="C7" s="37">
        <f>915*12</f>
        <v>10980</v>
      </c>
    </row>
    <row r="8" spans="1:3" ht="12.75">
      <c r="A8" s="40" t="s">
        <v>62</v>
      </c>
      <c r="B8" s="32"/>
      <c r="C8" s="41">
        <f>C3-C6-C7</f>
        <v>34920</v>
      </c>
    </row>
    <row r="9" spans="1:3" ht="12.75">
      <c r="A9" s="129" t="s">
        <v>168</v>
      </c>
      <c r="B9" s="31"/>
      <c r="C9" s="37">
        <f>C8*0.17</f>
        <v>5936.400000000001</v>
      </c>
    </row>
    <row r="10" spans="1:3" ht="12.75">
      <c r="A10" s="39" t="s">
        <v>64</v>
      </c>
      <c r="B10" s="31"/>
      <c r="C10" s="37"/>
    </row>
    <row r="11" spans="1:3" ht="12.75">
      <c r="A11" s="129" t="s">
        <v>169</v>
      </c>
      <c r="B11" s="31"/>
      <c r="C11" s="37">
        <f>312*12</f>
        <v>3744</v>
      </c>
    </row>
    <row r="12" spans="1:3" ht="12.75">
      <c r="A12" s="39" t="s">
        <v>63</v>
      </c>
      <c r="B12" s="31"/>
      <c r="C12" s="37">
        <f>2*1100</f>
        <v>2200</v>
      </c>
    </row>
    <row r="13" spans="1:3" ht="12.75">
      <c r="A13" s="38" t="s">
        <v>65</v>
      </c>
      <c r="B13" s="31"/>
      <c r="C13" s="37">
        <f>C11+C12</f>
        <v>5944</v>
      </c>
    </row>
    <row r="14" spans="1:3" ht="18.75" thickBot="1">
      <c r="A14" s="42" t="s">
        <v>66</v>
      </c>
      <c r="B14" s="43"/>
      <c r="C14" s="44">
        <f>C9-C13</f>
        <v>-7.599999999999454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15.421875" style="0" customWidth="1"/>
    <col min="4" max="4" width="12.28125" style="0" bestFit="1" customWidth="1"/>
    <col min="7" max="7" width="13.7109375" style="0" customWidth="1"/>
    <col min="8" max="8" width="13.421875" style="0" bestFit="1" customWidth="1"/>
  </cols>
  <sheetData>
    <row r="1" spans="1:2" ht="15">
      <c r="A1" s="21"/>
      <c r="B1" s="23" t="s">
        <v>69</v>
      </c>
    </row>
    <row r="2" spans="1:2" ht="15">
      <c r="A2" s="48" t="s">
        <v>116</v>
      </c>
      <c r="B2" s="49">
        <v>80000</v>
      </c>
    </row>
    <row r="3" spans="1:2" ht="15">
      <c r="A3" s="24" t="s">
        <v>67</v>
      </c>
      <c r="B3" s="20">
        <f>80000*1.115</f>
        <v>89200</v>
      </c>
    </row>
    <row r="4" spans="1:2" ht="15">
      <c r="A4" s="24" t="s">
        <v>80</v>
      </c>
      <c r="B4" s="20">
        <v>9200</v>
      </c>
    </row>
    <row r="5" spans="1:4" ht="15">
      <c r="A5" s="24" t="s">
        <v>72</v>
      </c>
      <c r="B5" s="25">
        <v>0</v>
      </c>
      <c r="C5" t="s">
        <v>71</v>
      </c>
      <c r="D5" s="16"/>
    </row>
    <row r="6" spans="1:4" ht="15">
      <c r="A6" s="24" t="s">
        <v>70</v>
      </c>
      <c r="B6" s="25">
        <f>B2/5</f>
        <v>16000</v>
      </c>
      <c r="C6" t="s">
        <v>73</v>
      </c>
      <c r="D6" s="16"/>
    </row>
    <row r="7" spans="1:4" ht="15">
      <c r="A7" s="24" t="s">
        <v>70</v>
      </c>
      <c r="B7" s="25">
        <f>B6</f>
        <v>16000</v>
      </c>
      <c r="C7" t="s">
        <v>74</v>
      </c>
      <c r="D7" s="16"/>
    </row>
    <row r="8" spans="1:4" ht="15">
      <c r="A8" s="24"/>
      <c r="B8" s="25">
        <f>B7</f>
        <v>16000</v>
      </c>
      <c r="C8" t="s">
        <v>75</v>
      </c>
      <c r="D8" s="16"/>
    </row>
    <row r="9" spans="1:4" ht="15">
      <c r="A9" s="24"/>
      <c r="B9" s="25">
        <f>B8</f>
        <v>16000</v>
      </c>
      <c r="C9" t="s">
        <v>76</v>
      </c>
      <c r="D9" s="16"/>
    </row>
    <row r="10" spans="1:4" ht="15">
      <c r="A10" s="24"/>
      <c r="B10" s="25">
        <f>B9</f>
        <v>16000</v>
      </c>
      <c r="C10" t="s">
        <v>77</v>
      </c>
      <c r="D10" s="16"/>
    </row>
    <row r="11" spans="1:4" ht="15">
      <c r="A11" s="24" t="s">
        <v>79</v>
      </c>
      <c r="B11" s="25">
        <f>SUM(B6:B10)</f>
        <v>80000</v>
      </c>
      <c r="D11" s="16"/>
    </row>
    <row r="12" spans="1:2" ht="15">
      <c r="A12" s="24" t="s">
        <v>78</v>
      </c>
      <c r="B12" s="47">
        <v>0</v>
      </c>
    </row>
    <row r="13" spans="1:2" ht="15">
      <c r="A13" s="24" t="s">
        <v>171</v>
      </c>
      <c r="B13" s="83">
        <f>B11*0.19</f>
        <v>15200</v>
      </c>
    </row>
    <row r="15" spans="1:2" ht="15">
      <c r="A15" s="24"/>
      <c r="B15" s="25"/>
    </row>
    <row r="16" spans="1:2" ht="15">
      <c r="A16" s="24" t="s">
        <v>126</v>
      </c>
      <c r="B16" s="25">
        <v>35000</v>
      </c>
    </row>
    <row r="17" spans="1:2" ht="15">
      <c r="A17" s="24" t="s">
        <v>171</v>
      </c>
      <c r="B17" s="131">
        <f>B16*0.19</f>
        <v>6650</v>
      </c>
    </row>
    <row r="18" spans="1:2" ht="15">
      <c r="A18" s="24"/>
      <c r="B18" s="26"/>
    </row>
    <row r="19" spans="1:2" ht="16.5" thickBot="1">
      <c r="A19" s="28" t="s">
        <v>170</v>
      </c>
      <c r="B19" s="27">
        <f>B13-B17</f>
        <v>8550</v>
      </c>
    </row>
    <row r="20" spans="1:2" ht="15.75">
      <c r="A20" s="93"/>
      <c r="B20" s="95"/>
    </row>
    <row r="21" spans="1:2" ht="15.75">
      <c r="A21" s="93"/>
      <c r="B21" s="95"/>
    </row>
    <row r="22" spans="1:2" ht="15.75">
      <c r="A22" s="93"/>
      <c r="B22" s="95"/>
    </row>
    <row r="23" spans="1:2" ht="15.75">
      <c r="A23" s="93"/>
      <c r="B23" s="99"/>
    </row>
    <row r="24" spans="1:2" ht="15.75">
      <c r="A24" s="93"/>
      <c r="B24" s="100"/>
    </row>
    <row r="25" spans="1:2" ht="15.75">
      <c r="A25" s="93"/>
      <c r="B25" s="100"/>
    </row>
    <row r="26" spans="1:2" ht="15.75">
      <c r="A26" s="93"/>
      <c r="B26" s="98"/>
    </row>
    <row r="27" spans="1:2" ht="15.75">
      <c r="A27" s="93"/>
      <c r="B27" s="98"/>
    </row>
    <row r="28" spans="1:2" ht="15.75">
      <c r="A28" s="93"/>
      <c r="B28" s="98"/>
    </row>
    <row r="29" spans="1:2" s="53" customFormat="1" ht="18">
      <c r="A29" s="96"/>
      <c r="B29" s="101"/>
    </row>
    <row r="30" spans="1:2" ht="15.75">
      <c r="A30" s="93"/>
      <c r="B30" s="98"/>
    </row>
    <row r="31" spans="1:2" ht="15.75">
      <c r="A31" s="93"/>
      <c r="B31" s="102"/>
    </row>
    <row r="32" spans="1:2" s="53" customFormat="1" ht="18">
      <c r="A32" s="97"/>
      <c r="B32" s="103"/>
    </row>
    <row r="33" spans="1:2" ht="15.75">
      <c r="A33" s="93"/>
      <c r="B33" s="95"/>
    </row>
    <row r="34" spans="1:2" ht="15.75">
      <c r="A34" s="93"/>
      <c r="B34" s="95"/>
    </row>
    <row r="35" spans="1:2" ht="15.75">
      <c r="A35" s="93"/>
      <c r="B35" s="95"/>
    </row>
    <row r="36" spans="1:2" ht="15.75">
      <c r="A36" s="93"/>
      <c r="B36" s="95"/>
    </row>
    <row r="37" spans="1:2" ht="15.75">
      <c r="A37" s="93"/>
      <c r="B37" s="95"/>
    </row>
    <row r="38" spans="1:2" ht="15.75">
      <c r="A38" s="93"/>
      <c r="B38" s="95"/>
    </row>
    <row r="39" spans="1:2" ht="15.75">
      <c r="A39" s="93"/>
      <c r="B39" s="95"/>
    </row>
    <row r="40" spans="1:2" ht="15.75">
      <c r="A40" s="93"/>
      <c r="B40" s="95"/>
    </row>
    <row r="42" ht="12.75">
      <c r="G42">
        <f>4.15*20000+6000</f>
        <v>89000</v>
      </c>
    </row>
    <row r="43" ht="13.5" thickBot="1">
      <c r="G43">
        <f>103000-G42</f>
        <v>14000</v>
      </c>
    </row>
    <row r="44" spans="1:7" ht="15">
      <c r="A44" s="21"/>
      <c r="B44" s="23" t="s">
        <v>69</v>
      </c>
      <c r="G44">
        <f>G43*0.19</f>
        <v>2660</v>
      </c>
    </row>
    <row r="45" spans="1:2" ht="15">
      <c r="A45" s="48" t="s">
        <v>81</v>
      </c>
      <c r="B45" s="49">
        <v>180000</v>
      </c>
    </row>
    <row r="46" spans="1:2" ht="15">
      <c r="A46" s="24" t="s">
        <v>67</v>
      </c>
      <c r="B46" s="20">
        <f>B45*1.115</f>
        <v>200700</v>
      </c>
    </row>
    <row r="47" spans="1:2" ht="15">
      <c r="A47" s="24" t="s">
        <v>80</v>
      </c>
      <c r="B47" s="20">
        <f>B46-B45</f>
        <v>20700</v>
      </c>
    </row>
    <row r="48" spans="1:2" ht="15">
      <c r="A48" s="24" t="s">
        <v>82</v>
      </c>
      <c r="B48" s="50">
        <f>80000</f>
        <v>80000</v>
      </c>
    </row>
    <row r="49" spans="1:4" ht="15">
      <c r="A49" s="24" t="s">
        <v>72</v>
      </c>
      <c r="B49" s="25">
        <v>0</v>
      </c>
      <c r="C49" t="s">
        <v>71</v>
      </c>
      <c r="D49" s="51"/>
    </row>
    <row r="50" spans="1:4" ht="15">
      <c r="A50" s="24" t="s">
        <v>70</v>
      </c>
      <c r="B50" s="25">
        <f>B48/5</f>
        <v>16000</v>
      </c>
      <c r="C50" t="s">
        <v>73</v>
      </c>
      <c r="D50" s="51"/>
    </row>
    <row r="51" spans="1:4" ht="15">
      <c r="A51" s="24" t="s">
        <v>70</v>
      </c>
      <c r="B51" s="25">
        <f>B50</f>
        <v>16000</v>
      </c>
      <c r="C51" t="s">
        <v>74</v>
      </c>
      <c r="D51" s="51"/>
    </row>
    <row r="52" spans="1:4" ht="15">
      <c r="A52" s="24"/>
      <c r="B52" s="25">
        <f>B51</f>
        <v>16000</v>
      </c>
      <c r="C52" t="s">
        <v>75</v>
      </c>
      <c r="D52" s="51"/>
    </row>
    <row r="53" spans="1:4" ht="15">
      <c r="A53" s="24"/>
      <c r="B53" s="25">
        <f>B52</f>
        <v>16000</v>
      </c>
      <c r="C53" t="s">
        <v>76</v>
      </c>
      <c r="D53" s="51"/>
    </row>
    <row r="54" spans="1:4" ht="15">
      <c r="A54" s="24"/>
      <c r="B54" s="25">
        <f>B53</f>
        <v>16000</v>
      </c>
      <c r="C54" t="s">
        <v>77</v>
      </c>
      <c r="D54" s="51"/>
    </row>
    <row r="55" spans="1:4" ht="15">
      <c r="A55" s="24" t="s">
        <v>79</v>
      </c>
      <c r="B55" s="25">
        <f>SUM(B50:B54)</f>
        <v>80000</v>
      </c>
      <c r="D55" s="51"/>
    </row>
    <row r="56" spans="1:2" ht="15">
      <c r="A56" s="24" t="s">
        <v>78</v>
      </c>
      <c r="B56" s="47">
        <v>0</v>
      </c>
    </row>
    <row r="57" spans="1:2" ht="15">
      <c r="A57" s="24"/>
      <c r="B57" s="25"/>
    </row>
    <row r="58" spans="1:2" ht="15">
      <c r="A58" s="24"/>
      <c r="B58" s="25"/>
    </row>
    <row r="59" spans="1:2" ht="15">
      <c r="A59" s="24"/>
      <c r="B59" s="25"/>
    </row>
    <row r="60" spans="1:2" ht="15">
      <c r="A60" s="24"/>
      <c r="B60" s="25"/>
    </row>
    <row r="61" spans="1:2" ht="15">
      <c r="A61" s="24"/>
      <c r="B61" s="25"/>
    </row>
    <row r="62" spans="1:2" ht="15">
      <c r="A62" s="24"/>
      <c r="B62" s="26"/>
    </row>
    <row r="63" spans="1:2" ht="16.5" thickBot="1">
      <c r="A63" s="28" t="s">
        <v>55</v>
      </c>
      <c r="B63" s="27" t="e">
        <f>#REF!-B62</f>
        <v>#REF!</v>
      </c>
    </row>
    <row r="66" ht="13.5" thickBot="1"/>
    <row r="67" spans="1:2" ht="15">
      <c r="A67" s="21"/>
      <c r="B67" s="23" t="s">
        <v>103</v>
      </c>
    </row>
    <row r="68" spans="1:6" ht="15">
      <c r="A68" s="48" t="s">
        <v>81</v>
      </c>
      <c r="B68" s="49">
        <f>B69-B70</f>
        <v>146341.46341463414</v>
      </c>
      <c r="C68" t="s">
        <v>104</v>
      </c>
      <c r="D68" s="80"/>
      <c r="F68" t="s">
        <v>105</v>
      </c>
    </row>
    <row r="69" spans="1:8" ht="15">
      <c r="A69" s="24" t="s">
        <v>115</v>
      </c>
      <c r="B69" s="20">
        <v>180000</v>
      </c>
      <c r="F69" t="s">
        <v>108</v>
      </c>
      <c r="H69" s="80" t="e">
        <f>#REF!</f>
        <v>#REF!</v>
      </c>
    </row>
    <row r="70" spans="1:8" ht="15">
      <c r="A70" s="24" t="s">
        <v>80</v>
      </c>
      <c r="B70" s="20">
        <f>(B69-B69/1.23)</f>
        <v>33658.53658536586</v>
      </c>
      <c r="F70" t="s">
        <v>109</v>
      </c>
      <c r="H70" s="80" t="e">
        <f>H69*0.099</f>
        <v>#REF!</v>
      </c>
    </row>
    <row r="71" spans="1:8" ht="15">
      <c r="A71" s="24" t="s">
        <v>82</v>
      </c>
      <c r="B71" s="50">
        <f>80000</f>
        <v>80000</v>
      </c>
      <c r="F71" t="s">
        <v>110</v>
      </c>
      <c r="H71" s="80">
        <f>B68</f>
        <v>146341.46341463414</v>
      </c>
    </row>
    <row r="72" spans="1:8" ht="15">
      <c r="A72" s="24" t="s">
        <v>72</v>
      </c>
      <c r="B72" s="25">
        <v>0</v>
      </c>
      <c r="C72" t="s">
        <v>71</v>
      </c>
      <c r="D72" s="51"/>
      <c r="F72" t="s">
        <v>80</v>
      </c>
      <c r="H72" s="80" t="e">
        <f>#REF!</f>
        <v>#REF!</v>
      </c>
    </row>
    <row r="73" spans="1:8" ht="15">
      <c r="A73" s="24" t="s">
        <v>70</v>
      </c>
      <c r="B73" s="25">
        <f>B71/5</f>
        <v>16000</v>
      </c>
      <c r="C73" t="s">
        <v>73</v>
      </c>
      <c r="D73" s="51"/>
      <c r="F73" t="s">
        <v>106</v>
      </c>
      <c r="H73" s="80">
        <f>B70</f>
        <v>33658.53658536586</v>
      </c>
    </row>
    <row r="74" spans="1:8" ht="15">
      <c r="A74" s="24" t="s">
        <v>70</v>
      </c>
      <c r="B74" s="25">
        <f>B73</f>
        <v>16000</v>
      </c>
      <c r="C74" t="s">
        <v>74</v>
      </c>
      <c r="D74" s="51"/>
      <c r="F74" t="s">
        <v>107</v>
      </c>
      <c r="H74" s="51">
        <f>D72+D73+D74</f>
        <v>0</v>
      </c>
    </row>
    <row r="75" spans="1:8" ht="15">
      <c r="A75" s="24"/>
      <c r="B75" s="25">
        <f>B74</f>
        <v>16000</v>
      </c>
      <c r="C75" t="s">
        <v>75</v>
      </c>
      <c r="D75" s="51"/>
      <c r="F75" t="s">
        <v>66</v>
      </c>
      <c r="H75" s="80">
        <f>D68</f>
        <v>0</v>
      </c>
    </row>
    <row r="76" spans="1:8" ht="15">
      <c r="A76" s="24"/>
      <c r="B76" s="25">
        <f>B75</f>
        <v>16000</v>
      </c>
      <c r="C76" t="s">
        <v>76</v>
      </c>
      <c r="D76" s="51"/>
      <c r="G76" t="s">
        <v>111</v>
      </c>
      <c r="H76" s="80" t="e">
        <f>H69+H73+H75</f>
        <v>#REF!</v>
      </c>
    </row>
    <row r="77" spans="1:8" ht="15">
      <c r="A77" s="24"/>
      <c r="B77" s="25">
        <f>B76</f>
        <v>16000</v>
      </c>
      <c r="C77" t="s">
        <v>77</v>
      </c>
      <c r="D77" s="51"/>
      <c r="G77" t="s">
        <v>112</v>
      </c>
      <c r="H77" s="80" t="e">
        <f>H71+H72+H74</f>
        <v>#REF!</v>
      </c>
    </row>
    <row r="78" spans="1:9" ht="15">
      <c r="A78" s="24" t="s">
        <v>79</v>
      </c>
      <c r="B78" s="25">
        <f>SUM(B73:B77)</f>
        <v>80000</v>
      </c>
      <c r="D78" s="51"/>
      <c r="G78" t="s">
        <v>113</v>
      </c>
      <c r="H78" s="80" t="e">
        <f>H76-H77</f>
        <v>#REF!</v>
      </c>
      <c r="I78" t="s">
        <v>114</v>
      </c>
    </row>
    <row r="79" spans="1:2" ht="15">
      <c r="A79" s="24" t="s">
        <v>78</v>
      </c>
      <c r="B79" s="47">
        <v>0</v>
      </c>
    </row>
    <row r="80" spans="1:2" ht="15">
      <c r="A80" s="24"/>
      <c r="B80" s="25"/>
    </row>
    <row r="81" spans="1:2" ht="15">
      <c r="A81" s="24"/>
      <c r="B81" s="25"/>
    </row>
    <row r="82" spans="1:2" ht="15">
      <c r="A82" s="24"/>
      <c r="B82" s="25"/>
    </row>
    <row r="83" spans="1:2" ht="15">
      <c r="A83" s="24"/>
      <c r="B83" s="25"/>
    </row>
    <row r="84" spans="1:2" ht="15">
      <c r="A84" s="24"/>
      <c r="B84" s="25"/>
    </row>
    <row r="85" spans="1:2" ht="15">
      <c r="A85" s="24"/>
      <c r="B85" s="26"/>
    </row>
    <row r="86" spans="1:2" ht="16.5" thickBot="1">
      <c r="A86" s="28" t="s">
        <v>55</v>
      </c>
      <c r="B86" s="27" t="e">
        <f>#REF!-B85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3">
      <selection activeCell="A22" sqref="A22:C32"/>
    </sheetView>
  </sheetViews>
  <sheetFormatPr defaultColWidth="9.140625" defaultRowHeight="12.75"/>
  <cols>
    <col min="1" max="1" width="44.421875" style="0" customWidth="1"/>
    <col min="2" max="3" width="19.57421875" style="0" customWidth="1"/>
    <col min="4" max="4" width="15.421875" style="0" customWidth="1"/>
    <col min="5" max="5" width="12.28125" style="0" bestFit="1" customWidth="1"/>
    <col min="8" max="8" width="13.7109375" style="0" customWidth="1"/>
    <col min="9" max="9" width="13.421875" style="0" bestFit="1" customWidth="1"/>
  </cols>
  <sheetData>
    <row r="1" spans="1:3" ht="15">
      <c r="A1" s="21"/>
      <c r="B1" s="22" t="s">
        <v>68</v>
      </c>
      <c r="C1" s="23" t="s">
        <v>69</v>
      </c>
    </row>
    <row r="2" spans="1:3" ht="15">
      <c r="A2" s="48" t="s">
        <v>116</v>
      </c>
      <c r="B2" s="49">
        <v>80000</v>
      </c>
      <c r="C2" s="49">
        <v>80000</v>
      </c>
    </row>
    <row r="3" spans="1:3" ht="15">
      <c r="A3" s="24" t="s">
        <v>67</v>
      </c>
      <c r="B3" s="20">
        <f>80000*1.115</f>
        <v>89200</v>
      </c>
      <c r="C3" s="20">
        <f>80000*1.115</f>
        <v>89200</v>
      </c>
    </row>
    <row r="4" spans="1:3" ht="15">
      <c r="A4" s="24" t="s">
        <v>80</v>
      </c>
      <c r="B4" s="20">
        <v>9200</v>
      </c>
      <c r="C4" s="20">
        <v>9200</v>
      </c>
    </row>
    <row r="5" spans="1:5" ht="15">
      <c r="A5" s="24" t="s">
        <v>72</v>
      </c>
      <c r="B5" s="20">
        <f>B2*0.4</f>
        <v>32000</v>
      </c>
      <c r="C5" s="25">
        <v>0</v>
      </c>
      <c r="D5" t="s">
        <v>71</v>
      </c>
      <c r="E5" s="16">
        <f>B5*0.19</f>
        <v>6080</v>
      </c>
    </row>
    <row r="6" spans="1:5" ht="15">
      <c r="A6" s="24" t="s">
        <v>70</v>
      </c>
      <c r="B6" s="20">
        <f>(B2-B5)/2</f>
        <v>24000</v>
      </c>
      <c r="C6" s="25">
        <f>B2/5</f>
        <v>16000</v>
      </c>
      <c r="D6" t="s">
        <v>73</v>
      </c>
      <c r="E6" s="16">
        <f>(B6-C6)*0.19</f>
        <v>1520</v>
      </c>
    </row>
    <row r="7" spans="1:5" ht="15">
      <c r="A7" s="24" t="s">
        <v>70</v>
      </c>
      <c r="B7" s="20">
        <f>B6</f>
        <v>24000</v>
      </c>
      <c r="C7" s="25">
        <f>C6</f>
        <v>16000</v>
      </c>
      <c r="D7" t="s">
        <v>74</v>
      </c>
      <c r="E7" s="16">
        <f>(B7-C7)*0.19</f>
        <v>1520</v>
      </c>
    </row>
    <row r="8" spans="1:5" ht="15">
      <c r="A8" s="24"/>
      <c r="B8" s="20"/>
      <c r="C8" s="25">
        <f>C7</f>
        <v>16000</v>
      </c>
      <c r="D8" t="s">
        <v>75</v>
      </c>
      <c r="E8" s="16">
        <f>(B8-C8)*0.19</f>
        <v>-3040</v>
      </c>
    </row>
    <row r="9" spans="1:5" ht="15">
      <c r="A9" s="24"/>
      <c r="B9" s="20"/>
      <c r="C9" s="25">
        <f>C8</f>
        <v>16000</v>
      </c>
      <c r="D9" t="s">
        <v>76</v>
      </c>
      <c r="E9" s="16">
        <f>(B9-C9)*0.19</f>
        <v>-3040</v>
      </c>
    </row>
    <row r="10" spans="1:5" ht="15">
      <c r="A10" s="24"/>
      <c r="B10" s="20"/>
      <c r="C10" s="25">
        <f>C9</f>
        <v>16000</v>
      </c>
      <c r="D10" t="s">
        <v>77</v>
      </c>
      <c r="E10" s="16">
        <f>(B10-C10)*0.19</f>
        <v>-3040</v>
      </c>
    </row>
    <row r="11" spans="1:5" ht="15">
      <c r="A11" s="24" t="s">
        <v>79</v>
      </c>
      <c r="B11" s="20">
        <f>B7+B6+B5</f>
        <v>80000</v>
      </c>
      <c r="C11" s="25">
        <f>SUM(C6:C10)</f>
        <v>80000</v>
      </c>
      <c r="E11" s="16">
        <f>SUM(E5:E10)</f>
        <v>0</v>
      </c>
    </row>
    <row r="12" spans="1:3" ht="15">
      <c r="A12" s="24" t="s">
        <v>78</v>
      </c>
      <c r="B12" s="46">
        <v>0</v>
      </c>
      <c r="C12" s="47">
        <v>0</v>
      </c>
    </row>
    <row r="13" spans="1:3" ht="15">
      <c r="A13" s="24"/>
      <c r="B13" s="20"/>
      <c r="C13" s="25"/>
    </row>
    <row r="14" spans="1:3" ht="15">
      <c r="A14" s="24"/>
      <c r="B14" s="20"/>
      <c r="C14" s="25"/>
    </row>
    <row r="15" spans="1:3" ht="15">
      <c r="A15" s="24"/>
      <c r="B15" s="20"/>
      <c r="C15" s="25"/>
    </row>
    <row r="16" spans="1:3" ht="15">
      <c r="A16" s="24"/>
      <c r="B16" s="20"/>
      <c r="C16" s="25"/>
    </row>
    <row r="17" spans="1:3" ht="15">
      <c r="A17" s="24"/>
      <c r="B17" s="20"/>
      <c r="C17" s="25"/>
    </row>
    <row r="18" spans="1:3" ht="15">
      <c r="A18" s="24"/>
      <c r="B18" s="20"/>
      <c r="C18" s="26"/>
    </row>
    <row r="19" spans="1:3" ht="16.5" thickBot="1">
      <c r="A19" s="28" t="s">
        <v>55</v>
      </c>
      <c r="B19" s="29"/>
      <c r="C19" s="27">
        <f>B18-C18</f>
        <v>0</v>
      </c>
    </row>
    <row r="20" spans="1:3" ht="15.75">
      <c r="A20" s="93"/>
      <c r="B20" s="94"/>
      <c r="C20" s="95"/>
    </row>
    <row r="21" spans="1:3" ht="15.75">
      <c r="A21" s="93"/>
      <c r="B21" s="94"/>
      <c r="C21" s="95"/>
    </row>
    <row r="22" spans="1:3" ht="15.75">
      <c r="A22" s="93" t="s">
        <v>118</v>
      </c>
      <c r="B22" s="94" t="s">
        <v>119</v>
      </c>
      <c r="C22" s="95" t="s">
        <v>120</v>
      </c>
    </row>
    <row r="23" spans="1:3" ht="15.75">
      <c r="A23" s="93" t="s">
        <v>121</v>
      </c>
      <c r="B23" s="98">
        <v>100000</v>
      </c>
      <c r="C23" s="99">
        <v>100000</v>
      </c>
    </row>
    <row r="24" spans="1:3" ht="15.75">
      <c r="A24" s="93" t="s">
        <v>122</v>
      </c>
      <c r="B24" s="100">
        <v>23000</v>
      </c>
      <c r="C24" s="100">
        <v>23000</v>
      </c>
    </row>
    <row r="25" spans="1:3" ht="15.75">
      <c r="A25" s="93" t="s">
        <v>125</v>
      </c>
      <c r="B25" s="100">
        <v>40000</v>
      </c>
      <c r="C25" s="100">
        <v>40000</v>
      </c>
    </row>
    <row r="26" spans="1:3" ht="15.75">
      <c r="A26" s="93" t="s">
        <v>124</v>
      </c>
      <c r="B26" s="98">
        <f>B25*0.115</f>
        <v>4600</v>
      </c>
      <c r="C26" s="98">
        <f>C25*0.115</f>
        <v>4600</v>
      </c>
    </row>
    <row r="27" spans="1:3" ht="15.75">
      <c r="A27" s="93" t="s">
        <v>123</v>
      </c>
      <c r="B27" s="98">
        <f>B23*0.3*0.115</f>
        <v>3450</v>
      </c>
      <c r="C27" s="98">
        <f>C23*0.59*0.115</f>
        <v>6785</v>
      </c>
    </row>
    <row r="28" spans="1:3" ht="15.75">
      <c r="A28" s="93" t="s">
        <v>129</v>
      </c>
      <c r="B28" s="98">
        <f>B23*0.3*0.23</f>
        <v>6900</v>
      </c>
      <c r="C28" s="98">
        <f>C23*0.01*0.23</f>
        <v>230</v>
      </c>
    </row>
    <row r="29" spans="1:3" s="53" customFormat="1" ht="18">
      <c r="A29" s="96" t="s">
        <v>130</v>
      </c>
      <c r="B29" s="101">
        <f>SUM(B26:B28)</f>
        <v>14950</v>
      </c>
      <c r="C29" s="101">
        <f>SUM(C26:C28)</f>
        <v>11615</v>
      </c>
    </row>
    <row r="30" spans="1:3" ht="15.75">
      <c r="A30" s="93" t="s">
        <v>126</v>
      </c>
      <c r="B30" s="98">
        <v>50000</v>
      </c>
      <c r="C30" s="98">
        <v>50000</v>
      </c>
    </row>
    <row r="31" spans="1:3" ht="15.75">
      <c r="A31" s="93" t="s">
        <v>127</v>
      </c>
      <c r="B31" s="102">
        <f>B30*0.23</f>
        <v>11500</v>
      </c>
      <c r="C31" s="102">
        <f>C30*0.23</f>
        <v>11500</v>
      </c>
    </row>
    <row r="32" spans="1:3" s="53" customFormat="1" ht="18">
      <c r="A32" s="97" t="s">
        <v>128</v>
      </c>
      <c r="B32" s="103">
        <f>B26+B27+B28-B31</f>
        <v>3450</v>
      </c>
      <c r="C32" s="103">
        <f>C26+C27+C28-C31</f>
        <v>115</v>
      </c>
    </row>
    <row r="33" spans="1:3" ht="15.75">
      <c r="A33" s="93"/>
      <c r="B33" s="94"/>
      <c r="C33" s="95"/>
    </row>
    <row r="34" spans="1:3" ht="15.75">
      <c r="A34" s="93"/>
      <c r="B34" s="94"/>
      <c r="C34" s="95"/>
    </row>
    <row r="35" spans="1:3" ht="15.75">
      <c r="A35" s="93"/>
      <c r="B35" s="94"/>
      <c r="C35" s="95"/>
    </row>
    <row r="36" spans="1:3" ht="15.75">
      <c r="A36" s="93"/>
      <c r="B36" s="94"/>
      <c r="C36" s="95"/>
    </row>
    <row r="37" spans="1:3" ht="15.75">
      <c r="A37" s="93"/>
      <c r="B37" s="94"/>
      <c r="C37" s="95"/>
    </row>
    <row r="38" spans="1:3" ht="15.75">
      <c r="A38" s="93"/>
      <c r="B38" s="94"/>
      <c r="C38" s="95"/>
    </row>
    <row r="39" spans="1:3" ht="15.75">
      <c r="A39" s="93"/>
      <c r="B39" s="94"/>
      <c r="C39" s="95"/>
    </row>
    <row r="40" spans="1:3" ht="15.75">
      <c r="A40" s="93"/>
      <c r="B40" s="94"/>
      <c r="C40" s="95"/>
    </row>
    <row r="42" ht="12.75">
      <c r="H42">
        <f>4.15*20000+6000</f>
        <v>89000</v>
      </c>
    </row>
    <row r="43" ht="13.5" thickBot="1">
      <c r="H43">
        <f>103000-H42</f>
        <v>14000</v>
      </c>
    </row>
    <row r="44" spans="1:8" ht="15">
      <c r="A44" s="21"/>
      <c r="B44" s="22" t="s">
        <v>68</v>
      </c>
      <c r="C44" s="23" t="s">
        <v>69</v>
      </c>
      <c r="H44">
        <f>H43*0.19</f>
        <v>2660</v>
      </c>
    </row>
    <row r="45" spans="1:3" ht="15">
      <c r="A45" s="48" t="s">
        <v>81</v>
      </c>
      <c r="B45" s="49">
        <v>180000</v>
      </c>
      <c r="C45" s="49">
        <v>180000</v>
      </c>
    </row>
    <row r="46" spans="1:3" ht="15">
      <c r="A46" s="24" t="s">
        <v>67</v>
      </c>
      <c r="B46" s="20">
        <f>B45*1.115</f>
        <v>200700</v>
      </c>
      <c r="C46" s="20">
        <f>C45*1.115</f>
        <v>200700</v>
      </c>
    </row>
    <row r="47" spans="1:3" ht="15">
      <c r="A47" s="24" t="s">
        <v>80</v>
      </c>
      <c r="B47" s="20">
        <f>B46-B45</f>
        <v>20700</v>
      </c>
      <c r="C47" s="20">
        <f>C46-C45</f>
        <v>20700</v>
      </c>
    </row>
    <row r="48" spans="1:3" ht="15">
      <c r="A48" s="24" t="s">
        <v>82</v>
      </c>
      <c r="B48" s="20"/>
      <c r="C48" s="50">
        <f>80000</f>
        <v>80000</v>
      </c>
    </row>
    <row r="49" spans="1:5" ht="15">
      <c r="A49" s="24" t="s">
        <v>72</v>
      </c>
      <c r="B49" s="20">
        <f>B45*0.4</f>
        <v>72000</v>
      </c>
      <c r="C49" s="25">
        <v>0</v>
      </c>
      <c r="D49" t="s">
        <v>71</v>
      </c>
      <c r="E49" s="51">
        <f>B49*0.19</f>
        <v>13680</v>
      </c>
    </row>
    <row r="50" spans="1:5" ht="15">
      <c r="A50" s="24" t="s">
        <v>70</v>
      </c>
      <c r="B50" s="20">
        <f>(B45-B49)/2</f>
        <v>54000</v>
      </c>
      <c r="C50" s="25">
        <f>C48/5</f>
        <v>16000</v>
      </c>
      <c r="D50" t="s">
        <v>73</v>
      </c>
      <c r="E50" s="51">
        <f>(B50-C50)*0.19</f>
        <v>7220</v>
      </c>
    </row>
    <row r="51" spans="1:5" ht="15">
      <c r="A51" s="24" t="s">
        <v>70</v>
      </c>
      <c r="B51" s="20">
        <f>B50</f>
        <v>54000</v>
      </c>
      <c r="C51" s="25">
        <f>C50</f>
        <v>16000</v>
      </c>
      <c r="D51" t="s">
        <v>74</v>
      </c>
      <c r="E51" s="51">
        <f>(B51-C51)*0.19</f>
        <v>7220</v>
      </c>
    </row>
    <row r="52" spans="1:5" ht="15">
      <c r="A52" s="24"/>
      <c r="B52" s="20"/>
      <c r="C52" s="25">
        <f>C51</f>
        <v>16000</v>
      </c>
      <c r="D52" t="s">
        <v>75</v>
      </c>
      <c r="E52" s="51">
        <f>(B52-C52)*0.19</f>
        <v>-3040</v>
      </c>
    </row>
    <row r="53" spans="1:5" ht="15">
      <c r="A53" s="24"/>
      <c r="B53" s="20"/>
      <c r="C53" s="25">
        <f>C52</f>
        <v>16000</v>
      </c>
      <c r="D53" t="s">
        <v>76</v>
      </c>
      <c r="E53" s="51">
        <f>(B53-C53)*0.19</f>
        <v>-3040</v>
      </c>
    </row>
    <row r="54" spans="1:5" ht="15">
      <c r="A54" s="24"/>
      <c r="B54" s="20"/>
      <c r="C54" s="25">
        <f>C53</f>
        <v>16000</v>
      </c>
      <c r="D54" t="s">
        <v>77</v>
      </c>
      <c r="E54" s="51">
        <f>(B54-C54)*0.19</f>
        <v>-3040</v>
      </c>
    </row>
    <row r="55" spans="1:5" ht="15">
      <c r="A55" s="24" t="s">
        <v>79</v>
      </c>
      <c r="B55" s="20">
        <f>B51+B50+B49</f>
        <v>180000</v>
      </c>
      <c r="C55" s="25">
        <f>SUM(C50:C54)</f>
        <v>80000</v>
      </c>
      <c r="E55" s="51">
        <f>SUM(E49:E54)</f>
        <v>19000</v>
      </c>
    </row>
    <row r="56" spans="1:3" ht="15">
      <c r="A56" s="24" t="s">
        <v>78</v>
      </c>
      <c r="B56" s="46">
        <v>0</v>
      </c>
      <c r="C56" s="47">
        <v>0</v>
      </c>
    </row>
    <row r="57" spans="1:3" ht="15">
      <c r="A57" s="24"/>
      <c r="B57" s="20"/>
      <c r="C57" s="25"/>
    </row>
    <row r="58" spans="1:3" ht="15">
      <c r="A58" s="24"/>
      <c r="B58" s="20"/>
      <c r="C58" s="25"/>
    </row>
    <row r="59" spans="1:3" ht="15">
      <c r="A59" s="24"/>
      <c r="B59" s="20"/>
      <c r="C59" s="25"/>
    </row>
    <row r="60" spans="1:3" ht="15">
      <c r="A60" s="24"/>
      <c r="B60" s="20"/>
      <c r="C60" s="25"/>
    </row>
    <row r="61" spans="1:3" ht="15">
      <c r="A61" s="24"/>
      <c r="B61" s="20"/>
      <c r="C61" s="25"/>
    </row>
    <row r="62" spans="1:3" ht="15">
      <c r="A62" s="24"/>
      <c r="B62" s="20"/>
      <c r="C62" s="26"/>
    </row>
    <row r="63" spans="1:3" ht="16.5" thickBot="1">
      <c r="A63" s="28" t="s">
        <v>55</v>
      </c>
      <c r="B63" s="29"/>
      <c r="C63" s="27">
        <f>B62-C62</f>
        <v>0</v>
      </c>
    </row>
    <row r="66" ht="13.5" thickBot="1"/>
    <row r="67" spans="1:3" ht="15">
      <c r="A67" s="21"/>
      <c r="B67" s="22" t="s">
        <v>68</v>
      </c>
      <c r="C67" s="23" t="s">
        <v>103</v>
      </c>
    </row>
    <row r="68" spans="1:7" ht="15">
      <c r="A68" s="48" t="s">
        <v>81</v>
      </c>
      <c r="B68" s="49">
        <f>B69-B70</f>
        <v>344471.5447154471</v>
      </c>
      <c r="C68" s="49">
        <f>C69-C70</f>
        <v>146341.46341463414</v>
      </c>
      <c r="D68" t="s">
        <v>104</v>
      </c>
      <c r="E68" s="80">
        <f>C68*0.19</f>
        <v>27804.878048780487</v>
      </c>
      <c r="G68" t="s">
        <v>105</v>
      </c>
    </row>
    <row r="69" spans="1:9" ht="15">
      <c r="A69" s="24" t="s">
        <v>115</v>
      </c>
      <c r="B69" s="20">
        <v>380000</v>
      </c>
      <c r="C69" s="20">
        <v>180000</v>
      </c>
      <c r="G69" t="s">
        <v>108</v>
      </c>
      <c r="I69" s="80">
        <f>B68</f>
        <v>344471.5447154471</v>
      </c>
    </row>
    <row r="70" spans="1:9" ht="15">
      <c r="A70" s="24" t="s">
        <v>80</v>
      </c>
      <c r="B70" s="20">
        <f>(B69-B69/1.23)/2</f>
        <v>35528.45528455285</v>
      </c>
      <c r="C70" s="20">
        <f>(C69-C69/1.23)</f>
        <v>33658.53658536586</v>
      </c>
      <c r="G70" t="s">
        <v>109</v>
      </c>
      <c r="I70" s="80">
        <f>I69*0.099</f>
        <v>34102.682926829264</v>
      </c>
    </row>
    <row r="71" spans="1:9" ht="15">
      <c r="A71" s="24" t="s">
        <v>82</v>
      </c>
      <c r="B71" s="20"/>
      <c r="C71" s="50">
        <f>80000</f>
        <v>80000</v>
      </c>
      <c r="G71" t="s">
        <v>110</v>
      </c>
      <c r="I71" s="80">
        <f>C68</f>
        <v>146341.46341463414</v>
      </c>
    </row>
    <row r="72" spans="1:9" ht="15">
      <c r="A72" s="24" t="s">
        <v>72</v>
      </c>
      <c r="B72" s="20">
        <f>B68*0.4</f>
        <v>137788.61788617886</v>
      </c>
      <c r="C72" s="25">
        <v>0</v>
      </c>
      <c r="D72" t="s">
        <v>71</v>
      </c>
      <c r="E72" s="51">
        <f>B72*0.19</f>
        <v>26179.837398373984</v>
      </c>
      <c r="G72" t="s">
        <v>80</v>
      </c>
      <c r="I72" s="80">
        <f>B70</f>
        <v>35528.45528455285</v>
      </c>
    </row>
    <row r="73" spans="1:9" ht="15">
      <c r="A73" s="24" t="s">
        <v>70</v>
      </c>
      <c r="B73" s="20">
        <f>(B68-B72)/2</f>
        <v>103341.46341463413</v>
      </c>
      <c r="C73" s="25">
        <f>C71/5</f>
        <v>16000</v>
      </c>
      <c r="D73" t="s">
        <v>73</v>
      </c>
      <c r="E73" s="51">
        <f>(B73-C73)*0.19</f>
        <v>16594.878048780483</v>
      </c>
      <c r="G73" t="s">
        <v>106</v>
      </c>
      <c r="I73" s="80">
        <f>C70</f>
        <v>33658.53658536586</v>
      </c>
    </row>
    <row r="74" spans="1:9" ht="15">
      <c r="A74" s="24" t="s">
        <v>70</v>
      </c>
      <c r="B74" s="20">
        <f>B73</f>
        <v>103341.46341463413</v>
      </c>
      <c r="C74" s="25">
        <f>C73</f>
        <v>16000</v>
      </c>
      <c r="D74" t="s">
        <v>74</v>
      </c>
      <c r="E74" s="51">
        <f>(B74-C74)*0.19</f>
        <v>16594.878048780483</v>
      </c>
      <c r="G74" t="s">
        <v>107</v>
      </c>
      <c r="I74" s="51">
        <f>E72+E73+E74</f>
        <v>59369.59349593495</v>
      </c>
    </row>
    <row r="75" spans="1:9" ht="15">
      <c r="A75" s="24"/>
      <c r="B75" s="20"/>
      <c r="C75" s="25">
        <f>C74</f>
        <v>16000</v>
      </c>
      <c r="D75" t="s">
        <v>75</v>
      </c>
      <c r="E75" s="51">
        <f>(B75-C75)*0.19</f>
        <v>-3040</v>
      </c>
      <c r="G75" t="s">
        <v>66</v>
      </c>
      <c r="I75" s="80">
        <f>E68</f>
        <v>27804.878048780487</v>
      </c>
    </row>
    <row r="76" spans="1:9" ht="15">
      <c r="A76" s="24"/>
      <c r="B76" s="20"/>
      <c r="C76" s="25">
        <f>C75</f>
        <v>16000</v>
      </c>
      <c r="D76" t="s">
        <v>76</v>
      </c>
      <c r="E76" s="51">
        <f>(B76-C76)*0.19</f>
        <v>-3040</v>
      </c>
      <c r="H76" t="s">
        <v>111</v>
      </c>
      <c r="I76" s="80">
        <f>I69+I73+I75</f>
        <v>405934.9593495935</v>
      </c>
    </row>
    <row r="77" spans="1:9" ht="15">
      <c r="A77" s="24"/>
      <c r="B77" s="20"/>
      <c r="C77" s="25">
        <f>C76</f>
        <v>16000</v>
      </c>
      <c r="D77" t="s">
        <v>77</v>
      </c>
      <c r="E77" s="51">
        <f>(B77-C77)*0.19</f>
        <v>-3040</v>
      </c>
      <c r="H77" t="s">
        <v>112</v>
      </c>
      <c r="I77" s="80">
        <f>I71+I72+I74</f>
        <v>241239.51219512193</v>
      </c>
    </row>
    <row r="78" spans="1:10" ht="15">
      <c r="A78" s="24" t="s">
        <v>79</v>
      </c>
      <c r="B78" s="20">
        <f>B74+B73+B72</f>
        <v>344471.5447154471</v>
      </c>
      <c r="C78" s="25">
        <f>SUM(C73:C77)</f>
        <v>80000</v>
      </c>
      <c r="E78" s="51">
        <f>SUM(E72:E77)</f>
        <v>50249.59349593495</v>
      </c>
      <c r="H78" t="s">
        <v>113</v>
      </c>
      <c r="I78" s="80">
        <f>I76-I77</f>
        <v>164695.44715447156</v>
      </c>
      <c r="J78" t="s">
        <v>114</v>
      </c>
    </row>
    <row r="79" spans="1:3" ht="15">
      <c r="A79" s="24" t="s">
        <v>78</v>
      </c>
      <c r="B79" s="46">
        <v>0</v>
      </c>
      <c r="C79" s="47">
        <v>0</v>
      </c>
    </row>
    <row r="80" spans="1:3" ht="15">
      <c r="A80" s="24"/>
      <c r="B80" s="20"/>
      <c r="C80" s="25"/>
    </row>
    <row r="81" spans="1:3" ht="15">
      <c r="A81" s="24"/>
      <c r="B81" s="20"/>
      <c r="C81" s="25"/>
    </row>
    <row r="82" spans="1:3" ht="15">
      <c r="A82" s="24"/>
      <c r="B82" s="20"/>
      <c r="C82" s="25"/>
    </row>
    <row r="83" spans="1:3" ht="15">
      <c r="A83" s="24"/>
      <c r="B83" s="20"/>
      <c r="C83" s="25"/>
    </row>
    <row r="84" spans="1:3" ht="15">
      <c r="A84" s="24"/>
      <c r="B84" s="20"/>
      <c r="C84" s="25"/>
    </row>
    <row r="85" spans="1:3" ht="15">
      <c r="A85" s="24"/>
      <c r="B85" s="20"/>
      <c r="C85" s="26"/>
    </row>
    <row r="86" spans="1:3" ht="16.5" thickBot="1">
      <c r="A86" s="28" t="s">
        <v>55</v>
      </c>
      <c r="B86" s="29"/>
      <c r="C86" s="27">
        <f>B85-C85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25.00390625" style="0" customWidth="1"/>
    <col min="2" max="3" width="14.57421875" style="16" bestFit="1" customWidth="1"/>
    <col min="4" max="4" width="12.8515625" style="16" bestFit="1" customWidth="1"/>
    <col min="5" max="5" width="14.57421875" style="16" bestFit="1" customWidth="1"/>
    <col min="6" max="6" width="17.28125" style="16" customWidth="1"/>
    <col min="7" max="7" width="16.140625" style="16" bestFit="1" customWidth="1"/>
    <col min="8" max="8" width="10.140625" style="16" customWidth="1"/>
    <col min="9" max="15" width="10.140625" style="0" customWidth="1"/>
    <col min="16" max="16" width="10.7109375" style="0" customWidth="1"/>
  </cols>
  <sheetData>
    <row r="1" spans="1:7" ht="18">
      <c r="A1" s="53" t="s">
        <v>102</v>
      </c>
      <c r="B1" s="54"/>
      <c r="C1" s="54"/>
      <c r="D1" s="54"/>
      <c r="E1" s="54"/>
      <c r="F1" s="69" t="s">
        <v>90</v>
      </c>
      <c r="G1" s="54"/>
    </row>
    <row r="2" spans="1:7" ht="18">
      <c r="A2" s="55" t="s">
        <v>85</v>
      </c>
      <c r="B2" s="56">
        <v>20000</v>
      </c>
      <c r="C2" s="56">
        <v>15000</v>
      </c>
      <c r="D2" s="56">
        <v>5000</v>
      </c>
      <c r="E2" s="62">
        <v>70000</v>
      </c>
      <c r="F2" s="70">
        <f>E2+D2+C2+B2</f>
        <v>110000</v>
      </c>
      <c r="G2" s="65">
        <v>110000</v>
      </c>
    </row>
    <row r="3" spans="1:7" ht="18">
      <c r="A3" s="55" t="s">
        <v>83</v>
      </c>
      <c r="B3" s="57">
        <v>0.16</v>
      </c>
      <c r="C3" s="57">
        <v>0.18</v>
      </c>
      <c r="D3" s="57">
        <v>0.22</v>
      </c>
      <c r="E3" s="63">
        <v>0.11</v>
      </c>
      <c r="F3" s="71"/>
      <c r="G3" s="66">
        <v>0.07</v>
      </c>
    </row>
    <row r="4" spans="1:7" ht="18">
      <c r="A4" s="55" t="s">
        <v>86</v>
      </c>
      <c r="B4" s="58">
        <v>20</v>
      </c>
      <c r="C4" s="58">
        <v>30</v>
      </c>
      <c r="D4" s="58">
        <v>5</v>
      </c>
      <c r="E4" s="64">
        <v>48</v>
      </c>
      <c r="F4" s="72"/>
      <c r="G4" s="67">
        <v>120</v>
      </c>
    </row>
    <row r="5" spans="1:7" ht="18">
      <c r="A5" s="55" t="s">
        <v>87</v>
      </c>
      <c r="B5" s="56">
        <f>B2*B3/12</f>
        <v>266.6666666666667</v>
      </c>
      <c r="C5" s="56">
        <f>C2*C3/12</f>
        <v>225</v>
      </c>
      <c r="D5" s="56">
        <f>D2*D3/12</f>
        <v>91.66666666666667</v>
      </c>
      <c r="E5" s="62">
        <f>E2*E3/12</f>
        <v>641.6666666666666</v>
      </c>
      <c r="F5" s="73">
        <f>E5+D5+C5+B5</f>
        <v>1225</v>
      </c>
      <c r="G5" s="68">
        <f>G2*G3/12</f>
        <v>641.6666666666667</v>
      </c>
    </row>
    <row r="6" spans="1:7" ht="18">
      <c r="A6" s="55" t="s">
        <v>88</v>
      </c>
      <c r="B6" s="56">
        <f>B2/B4</f>
        <v>1000</v>
      </c>
      <c r="C6" s="56">
        <f>C2/C4</f>
        <v>500</v>
      </c>
      <c r="D6" s="56">
        <f>D2/D4</f>
        <v>1000</v>
      </c>
      <c r="E6" s="62">
        <f>E2/E4</f>
        <v>1458.3333333333333</v>
      </c>
      <c r="F6" s="73">
        <f>E6+D6+C6+B6</f>
        <v>3958.333333333333</v>
      </c>
      <c r="G6" s="68">
        <f>G2/G4</f>
        <v>916.6666666666666</v>
      </c>
    </row>
    <row r="7" spans="1:7" ht="18.75" thickBot="1">
      <c r="A7" s="59" t="s">
        <v>89</v>
      </c>
      <c r="B7" s="60">
        <f>#N/A</f>
        <v>1266.6666666666667</v>
      </c>
      <c r="C7" s="60">
        <f>#N/A</f>
        <v>725</v>
      </c>
      <c r="D7" s="60">
        <f>#N/A</f>
        <v>1091.6666666666667</v>
      </c>
      <c r="E7" s="60">
        <f>#N/A</f>
        <v>2100</v>
      </c>
      <c r="F7" s="74">
        <f>#N/A</f>
        <v>5183.333333333333</v>
      </c>
      <c r="G7" s="61">
        <f>#N/A</f>
        <v>1558.3333333333335</v>
      </c>
    </row>
    <row r="20" ht="12.75">
      <c r="P20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13"/>
  <sheetViews>
    <sheetView zoomScalePageLayoutView="0" workbookViewId="0" topLeftCell="A1">
      <selection activeCell="Q7" sqref="Q7"/>
    </sheetView>
  </sheetViews>
  <sheetFormatPr defaultColWidth="9.140625" defaultRowHeight="12.75"/>
  <cols>
    <col min="1" max="1" width="16.28125" style="0" customWidth="1"/>
    <col min="2" max="16" width="10.421875" style="0" customWidth="1"/>
  </cols>
  <sheetData>
    <row r="3" spans="1:8" ht="18">
      <c r="A3" s="75" t="s">
        <v>91</v>
      </c>
      <c r="B3" s="16"/>
      <c r="C3" s="16"/>
      <c r="D3" s="16"/>
      <c r="E3" s="16"/>
      <c r="F3" s="16"/>
      <c r="G3" s="16"/>
      <c r="H3" s="16"/>
    </row>
    <row r="4" spans="1:8" ht="18">
      <c r="A4" s="75" t="s">
        <v>97</v>
      </c>
      <c r="B4" s="16"/>
      <c r="C4" s="16"/>
      <c r="D4" s="16"/>
      <c r="E4" s="16"/>
      <c r="F4" s="16"/>
      <c r="G4" s="16"/>
      <c r="H4" s="16"/>
    </row>
    <row r="5" spans="1:16" ht="18">
      <c r="A5" s="75"/>
      <c r="B5" s="16" t="s">
        <v>98</v>
      </c>
      <c r="C5" s="16" t="s">
        <v>99</v>
      </c>
      <c r="D5" s="76">
        <v>1</v>
      </c>
      <c r="E5" s="76">
        <v>2</v>
      </c>
      <c r="F5" s="76">
        <v>3</v>
      </c>
      <c r="G5" s="76">
        <v>4</v>
      </c>
      <c r="H5" s="76">
        <v>5</v>
      </c>
      <c r="I5" s="76">
        <v>6</v>
      </c>
      <c r="J5" s="76">
        <v>7</v>
      </c>
      <c r="K5" s="76">
        <v>8</v>
      </c>
      <c r="L5" s="76">
        <v>9</v>
      </c>
      <c r="M5" s="76">
        <v>10</v>
      </c>
      <c r="N5" s="76">
        <v>11</v>
      </c>
      <c r="O5" s="76">
        <v>12</v>
      </c>
      <c r="P5" s="30" t="s">
        <v>100</v>
      </c>
    </row>
    <row r="6" spans="1:16" ht="12.75">
      <c r="A6" s="78" t="s">
        <v>94</v>
      </c>
      <c r="B6" s="17">
        <v>36000</v>
      </c>
      <c r="C6" s="17">
        <v>36000</v>
      </c>
      <c r="D6" s="17">
        <f>#N/A</f>
        <v>34500</v>
      </c>
      <c r="E6" s="17">
        <f>#N/A</f>
        <v>33000</v>
      </c>
      <c r="F6" s="17">
        <f>#N/A</f>
        <v>31500</v>
      </c>
      <c r="G6" s="17">
        <f>#N/A</f>
        <v>30000</v>
      </c>
      <c r="H6" s="17">
        <f>#N/A</f>
        <v>28500</v>
      </c>
      <c r="I6" s="17">
        <f>#N/A</f>
        <v>27000</v>
      </c>
      <c r="J6" s="17">
        <f>#N/A</f>
        <v>25500</v>
      </c>
      <c r="K6" s="17">
        <f>#N/A</f>
        <v>24000</v>
      </c>
      <c r="L6" s="17">
        <f>#N/A</f>
        <v>22500</v>
      </c>
      <c r="M6" s="17">
        <f>#N/A</f>
        <v>21000</v>
      </c>
      <c r="N6" s="17">
        <f>#N/A</f>
        <v>19500</v>
      </c>
      <c r="O6" s="17">
        <f>#N/A</f>
        <v>18000</v>
      </c>
      <c r="P6" s="30"/>
    </row>
    <row r="7" spans="1:16" ht="12.75">
      <c r="A7" s="78" t="s">
        <v>96</v>
      </c>
      <c r="B7" s="17"/>
      <c r="C7" s="17"/>
      <c r="D7" s="17">
        <f>#N/A</f>
        <v>345</v>
      </c>
      <c r="E7" s="17">
        <f>#N/A</f>
        <v>330</v>
      </c>
      <c r="F7" s="17">
        <f>#N/A</f>
        <v>315</v>
      </c>
      <c r="G7" s="17">
        <f>#N/A</f>
        <v>300</v>
      </c>
      <c r="H7" s="17">
        <f>#N/A</f>
        <v>285</v>
      </c>
      <c r="I7" s="17">
        <f>#N/A</f>
        <v>270</v>
      </c>
      <c r="J7" s="17">
        <f>#N/A</f>
        <v>255</v>
      </c>
      <c r="K7" s="17">
        <f>#N/A</f>
        <v>240</v>
      </c>
      <c r="L7" s="17">
        <f>#N/A</f>
        <v>225</v>
      </c>
      <c r="M7" s="17">
        <f>#N/A</f>
        <v>210</v>
      </c>
      <c r="N7" s="17">
        <f>#N/A</f>
        <v>195</v>
      </c>
      <c r="O7" s="17">
        <f>#N/A</f>
        <v>180</v>
      </c>
      <c r="P7" s="77">
        <f>SUM(D7:O7)</f>
        <v>3150</v>
      </c>
    </row>
    <row r="8" spans="1:16" ht="12.75">
      <c r="A8" s="78"/>
      <c r="B8" s="17"/>
      <c r="C8" s="17"/>
      <c r="D8" s="17"/>
      <c r="E8" s="17"/>
      <c r="F8" s="17"/>
      <c r="G8" s="17"/>
      <c r="H8" s="17"/>
      <c r="I8" s="78"/>
      <c r="J8" s="78"/>
      <c r="K8" s="78"/>
      <c r="L8" s="78"/>
      <c r="M8" s="78"/>
      <c r="N8" s="78"/>
      <c r="O8" s="78"/>
      <c r="P8" s="30"/>
    </row>
    <row r="9" spans="1:16" ht="12.75">
      <c r="A9" s="78" t="s">
        <v>92</v>
      </c>
      <c r="B9" s="17">
        <v>36000</v>
      </c>
      <c r="C9" s="17">
        <v>36000</v>
      </c>
      <c r="D9" s="17">
        <f>#N/A</f>
        <v>36000</v>
      </c>
      <c r="E9" s="17">
        <f>#N/A</f>
        <v>36000</v>
      </c>
      <c r="F9" s="17">
        <f>#N/A</f>
        <v>36000</v>
      </c>
      <c r="G9" s="17">
        <f>#N/A</f>
        <v>36000</v>
      </c>
      <c r="H9" s="17">
        <f>#N/A</f>
        <v>36000</v>
      </c>
      <c r="I9" s="17">
        <f>#N/A</f>
        <v>36000</v>
      </c>
      <c r="J9" s="17">
        <f>#N/A</f>
        <v>36000</v>
      </c>
      <c r="K9" s="17">
        <f>#N/A</f>
        <v>36000</v>
      </c>
      <c r="L9" s="17">
        <f>#N/A</f>
        <v>36000</v>
      </c>
      <c r="M9" s="17">
        <f>#N/A</f>
        <v>36000</v>
      </c>
      <c r="N9" s="17">
        <f>#N/A</f>
        <v>36000</v>
      </c>
      <c r="O9" s="17">
        <f>#N/A</f>
        <v>36000</v>
      </c>
      <c r="P9" s="77">
        <f>#N/A</f>
        <v>36000</v>
      </c>
    </row>
    <row r="10" spans="1:16" ht="12.75">
      <c r="A10" s="78" t="s">
        <v>93</v>
      </c>
      <c r="B10" s="17">
        <v>13000</v>
      </c>
      <c r="C10" s="17">
        <f>B10-B9</f>
        <v>-23000</v>
      </c>
      <c r="D10" s="17">
        <f>#N/A</f>
        <v>-20000</v>
      </c>
      <c r="E10" s="17">
        <f>#N/A</f>
        <v>-17000</v>
      </c>
      <c r="F10" s="17">
        <f>#N/A</f>
        <v>-14000</v>
      </c>
      <c r="G10" s="17">
        <f>#N/A</f>
        <v>-11000</v>
      </c>
      <c r="H10" s="17">
        <f>#N/A</f>
        <v>-8000</v>
      </c>
      <c r="I10" s="17">
        <f>#N/A</f>
        <v>-5000</v>
      </c>
      <c r="J10" s="17">
        <f>#N/A</f>
        <v>-2000</v>
      </c>
      <c r="K10" s="17">
        <f>#N/A</f>
        <v>1000</v>
      </c>
      <c r="L10" s="17">
        <f>#N/A</f>
        <v>4000</v>
      </c>
      <c r="M10" s="17">
        <f>#N/A</f>
        <v>7000</v>
      </c>
      <c r="N10" s="17">
        <f>#N/A</f>
        <v>10000</v>
      </c>
      <c r="O10" s="17">
        <f>#N/A</f>
        <v>13000</v>
      </c>
      <c r="P10" s="30"/>
    </row>
    <row r="11" spans="1:16" ht="12.75">
      <c r="A11" s="78" t="s">
        <v>95</v>
      </c>
      <c r="B11" s="17"/>
      <c r="C11" s="17">
        <f>#N/A</f>
        <v>13000</v>
      </c>
      <c r="D11" s="17">
        <f>#N/A</f>
        <v>16000</v>
      </c>
      <c r="E11" s="17">
        <f>#N/A</f>
        <v>19000</v>
      </c>
      <c r="F11" s="17">
        <f>#N/A</f>
        <v>22000</v>
      </c>
      <c r="G11" s="17">
        <f>#N/A</f>
        <v>25000</v>
      </c>
      <c r="H11" s="17">
        <f>#N/A</f>
        <v>28000</v>
      </c>
      <c r="I11" s="17">
        <f>#N/A</f>
        <v>31000</v>
      </c>
      <c r="J11" s="17">
        <f>#N/A</f>
        <v>34000</v>
      </c>
      <c r="K11" s="17">
        <f>#N/A</f>
        <v>37000</v>
      </c>
      <c r="L11" s="17">
        <f>#N/A</f>
        <v>40000</v>
      </c>
      <c r="M11" s="17">
        <f>#N/A</f>
        <v>43000</v>
      </c>
      <c r="N11" s="17">
        <f>#N/A</f>
        <v>46000</v>
      </c>
      <c r="O11" s="17">
        <f>#N/A</f>
        <v>49000</v>
      </c>
      <c r="P11" s="30"/>
    </row>
    <row r="12" spans="1:16" ht="12.75">
      <c r="A12" s="79" t="s">
        <v>101</v>
      </c>
      <c r="B12" s="17"/>
      <c r="C12" s="17">
        <v>3000</v>
      </c>
      <c r="D12" s="17">
        <f>#N/A</f>
        <v>3000</v>
      </c>
      <c r="E12" s="17">
        <f>#N/A</f>
        <v>3000</v>
      </c>
      <c r="F12" s="17">
        <f>#N/A</f>
        <v>3000</v>
      </c>
      <c r="G12" s="17">
        <f>#N/A</f>
        <v>3000</v>
      </c>
      <c r="H12" s="17">
        <f>#N/A</f>
        <v>3000</v>
      </c>
      <c r="I12" s="17">
        <f>#N/A</f>
        <v>3000</v>
      </c>
      <c r="J12" s="17">
        <f>#N/A</f>
        <v>3000</v>
      </c>
      <c r="K12" s="17">
        <f>#N/A</f>
        <v>3000</v>
      </c>
      <c r="L12" s="17">
        <f>#N/A</f>
        <v>3000</v>
      </c>
      <c r="M12" s="17">
        <f>#N/A</f>
        <v>3000</v>
      </c>
      <c r="N12" s="17">
        <f>#N/A</f>
        <v>3000</v>
      </c>
      <c r="O12" s="17">
        <f>#N/A</f>
        <v>3000</v>
      </c>
      <c r="P12" s="30"/>
    </row>
    <row r="13" spans="1:16" ht="12.75">
      <c r="A13" s="78" t="s">
        <v>96</v>
      </c>
      <c r="B13" s="17"/>
      <c r="C13" s="17"/>
      <c r="D13" s="17">
        <f>#N/A</f>
        <v>-200</v>
      </c>
      <c r="E13" s="17">
        <f>#N/A</f>
        <v>-170</v>
      </c>
      <c r="F13" s="17">
        <f>#N/A</f>
        <v>-140</v>
      </c>
      <c r="G13" s="17">
        <f>#N/A</f>
        <v>-110</v>
      </c>
      <c r="H13" s="17">
        <f>#N/A</f>
        <v>-80</v>
      </c>
      <c r="I13" s="17">
        <f>#N/A</f>
        <v>-50</v>
      </c>
      <c r="J13" s="17">
        <f>#N/A</f>
        <v>-20</v>
      </c>
      <c r="K13" s="78"/>
      <c r="L13" s="78"/>
      <c r="M13" s="78"/>
      <c r="N13" s="78"/>
      <c r="O13" s="78"/>
      <c r="P13" s="77">
        <f>SUM(D13:O13)</f>
        <v>-770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63.57421875" style="0" customWidth="1"/>
  </cols>
  <sheetData>
    <row r="1" ht="12.75">
      <c r="B1" s="52" t="s">
        <v>154</v>
      </c>
    </row>
    <row r="2" spans="1:3" ht="17.25">
      <c r="A2" s="123" t="s">
        <v>153</v>
      </c>
      <c r="B2" s="52" t="s">
        <v>156</v>
      </c>
      <c r="C2" s="52" t="s">
        <v>155</v>
      </c>
    </row>
    <row r="3" ht="17.25">
      <c r="A3" s="123"/>
    </row>
    <row r="4" spans="1:3" ht="18">
      <c r="A4" s="124" t="s">
        <v>157</v>
      </c>
      <c r="B4" s="52" t="s">
        <v>156</v>
      </c>
      <c r="C4" s="52" t="s">
        <v>155</v>
      </c>
    </row>
    <row r="5" spans="1:3" ht="18">
      <c r="A5" s="124" t="s">
        <v>158</v>
      </c>
      <c r="B5" s="52" t="s">
        <v>156</v>
      </c>
      <c r="C5" s="52" t="s">
        <v>155</v>
      </c>
    </row>
    <row r="6" spans="1:3" ht="18">
      <c r="A6" s="124" t="s">
        <v>159</v>
      </c>
      <c r="B6" s="52" t="s">
        <v>160</v>
      </c>
      <c r="C6" s="52" t="s">
        <v>155</v>
      </c>
    </row>
    <row r="7" spans="1:3" ht="18">
      <c r="A7" s="124" t="s">
        <v>161</v>
      </c>
      <c r="B7" s="52" t="s">
        <v>155</v>
      </c>
      <c r="C7" s="52" t="s">
        <v>156</v>
      </c>
    </row>
    <row r="8" spans="1:3" ht="18">
      <c r="A8" s="124" t="s">
        <v>162</v>
      </c>
      <c r="B8" s="52" t="s">
        <v>156</v>
      </c>
      <c r="C8" s="52" t="s">
        <v>155</v>
      </c>
    </row>
    <row r="9" spans="1:3" ht="18">
      <c r="A9" s="124" t="s">
        <v>163</v>
      </c>
      <c r="B9" s="52" t="s">
        <v>156</v>
      </c>
      <c r="C9" s="52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F50" sqref="F50"/>
    </sheetView>
  </sheetViews>
  <sheetFormatPr defaultColWidth="9.140625" defaultRowHeight="12.75"/>
  <cols>
    <col min="2" max="2" width="12.28125" style="11" customWidth="1"/>
    <col min="3" max="3" width="13.140625" style="11" customWidth="1"/>
    <col min="4" max="4" width="12.7109375" style="11" customWidth="1"/>
    <col min="5" max="5" width="12.57421875" style="0" customWidth="1"/>
    <col min="7" max="7" width="19.8515625" style="0" customWidth="1"/>
    <col min="9" max="9" width="14.8515625" style="0" customWidth="1"/>
  </cols>
  <sheetData>
    <row r="1" spans="2:9" ht="12.75">
      <c r="B1" s="11" t="s">
        <v>164</v>
      </c>
      <c r="C1" s="11" t="s">
        <v>126</v>
      </c>
      <c r="D1" s="127" t="s">
        <v>165</v>
      </c>
      <c r="E1" s="52" t="s">
        <v>166</v>
      </c>
      <c r="F1" s="52"/>
      <c r="H1" s="52" t="s">
        <v>164</v>
      </c>
      <c r="I1" s="52" t="s">
        <v>126</v>
      </c>
    </row>
    <row r="2" spans="1:9" ht="12.75">
      <c r="A2">
        <v>1</v>
      </c>
      <c r="B2" s="128">
        <v>100000</v>
      </c>
      <c r="C2" s="128">
        <f>B2*1.1</f>
        <v>110000.00000000001</v>
      </c>
      <c r="D2" s="11">
        <f>C2-B2</f>
        <v>10000.000000000015</v>
      </c>
      <c r="E2" s="11">
        <f>(C2-B2)*0.19</f>
        <v>1900.0000000000027</v>
      </c>
      <c r="F2" s="11"/>
      <c r="G2" s="52" t="s">
        <v>167</v>
      </c>
      <c r="H2" s="128">
        <f>E2</f>
        <v>1900.0000000000027</v>
      </c>
      <c r="I2" s="11">
        <f>H2*1.1</f>
        <v>2090.000000000003</v>
      </c>
    </row>
    <row r="3" spans="1:9" ht="12.75">
      <c r="A3">
        <v>2</v>
      </c>
      <c r="B3" s="11">
        <f>C2</f>
        <v>110000.00000000001</v>
      </c>
      <c r="C3" s="11">
        <f>#N/A</f>
        <v>121000.00000000003</v>
      </c>
      <c r="D3" s="11">
        <f>#N/A</f>
        <v>11000.000000000015</v>
      </c>
      <c r="E3" s="11">
        <f>#N/A</f>
        <v>2090.0000000000027</v>
      </c>
      <c r="F3" s="11"/>
      <c r="H3" s="11">
        <f>I2</f>
        <v>2090.000000000003</v>
      </c>
      <c r="I3" s="11">
        <f>#N/A</f>
        <v>2299.0000000000036</v>
      </c>
    </row>
    <row r="4" spans="1:9" ht="12.75">
      <c r="A4">
        <v>3</v>
      </c>
      <c r="B4" s="11">
        <f>#N/A</f>
        <v>121000.00000000003</v>
      </c>
      <c r="C4" s="11">
        <f>#N/A</f>
        <v>133100.00000000003</v>
      </c>
      <c r="D4" s="11">
        <f>#N/A</f>
        <v>12100</v>
      </c>
      <c r="E4" s="11">
        <f>#N/A</f>
        <v>2299</v>
      </c>
      <c r="F4" s="11"/>
      <c r="H4" s="11">
        <f>#N/A</f>
        <v>2299.0000000000036</v>
      </c>
      <c r="I4" s="11">
        <f>#N/A</f>
        <v>2528.900000000004</v>
      </c>
    </row>
    <row r="5" spans="1:9" ht="12.75">
      <c r="A5">
        <v>4</v>
      </c>
      <c r="B5" s="11">
        <f>#N/A</f>
        <v>133100.00000000003</v>
      </c>
      <c r="C5" s="11">
        <f>#N/A</f>
        <v>146410.00000000006</v>
      </c>
      <c r="D5" s="11">
        <f>#N/A</f>
        <v>13310.00000000003</v>
      </c>
      <c r="E5" s="11">
        <f>#N/A</f>
        <v>2528.9000000000055</v>
      </c>
      <c r="F5" s="11"/>
      <c r="H5" s="11">
        <f>#N/A</f>
        <v>2528.900000000004</v>
      </c>
      <c r="I5" s="11">
        <f>#N/A</f>
        <v>2781.790000000005</v>
      </c>
    </row>
    <row r="6" spans="1:9" ht="12.75">
      <c r="A6">
        <v>5</v>
      </c>
      <c r="B6" s="11">
        <f>#N/A</f>
        <v>146410.00000000006</v>
      </c>
      <c r="C6" s="11">
        <f>#N/A</f>
        <v>161051.0000000001</v>
      </c>
      <c r="D6" s="11">
        <f>#N/A</f>
        <v>14641.00000000003</v>
      </c>
      <c r="E6" s="11">
        <f>#N/A</f>
        <v>2781.7900000000054</v>
      </c>
      <c r="F6" s="11"/>
      <c r="H6" s="11">
        <f>#N/A</f>
        <v>2781.790000000005</v>
      </c>
      <c r="I6" s="11">
        <f>#N/A</f>
        <v>3059.9690000000055</v>
      </c>
    </row>
    <row r="7" spans="1:9" ht="12.75">
      <c r="A7">
        <v>6</v>
      </c>
      <c r="B7" s="11">
        <f>#N/A</f>
        <v>161051.0000000001</v>
      </c>
      <c r="C7" s="11">
        <f>#N/A</f>
        <v>177156.10000000012</v>
      </c>
      <c r="D7" s="11">
        <f>#N/A</f>
        <v>16105.100000000035</v>
      </c>
      <c r="E7" s="11">
        <f>#N/A</f>
        <v>3059.969000000007</v>
      </c>
      <c r="F7" s="11"/>
      <c r="H7" s="11">
        <f>#N/A</f>
        <v>3059.9690000000055</v>
      </c>
      <c r="I7" s="11">
        <f>#N/A</f>
        <v>3365.9659000000065</v>
      </c>
    </row>
    <row r="8" spans="1:9" ht="12.75">
      <c r="A8">
        <v>7</v>
      </c>
      <c r="B8" s="11">
        <f>#N/A</f>
        <v>177156.10000000012</v>
      </c>
      <c r="C8" s="11">
        <f>#N/A</f>
        <v>194871.71000000014</v>
      </c>
      <c r="D8" s="11">
        <f>#N/A</f>
        <v>17715.610000000015</v>
      </c>
      <c r="E8" s="11">
        <f>#N/A</f>
        <v>3365.965900000003</v>
      </c>
      <c r="F8" s="11"/>
      <c r="H8" s="11">
        <f>#N/A</f>
        <v>3365.9659000000065</v>
      </c>
      <c r="I8" s="11">
        <f>#N/A</f>
        <v>3702.5624900000075</v>
      </c>
    </row>
    <row r="9" spans="1:9" ht="12.75">
      <c r="A9">
        <v>8</v>
      </c>
      <c r="B9" s="11">
        <f>#N/A</f>
        <v>194871.71000000014</v>
      </c>
      <c r="C9" s="11">
        <f>#N/A</f>
        <v>214358.88100000017</v>
      </c>
      <c r="D9" s="11">
        <f>#N/A</f>
        <v>19487.17100000003</v>
      </c>
      <c r="E9" s="11">
        <f>#N/A</f>
        <v>3702.562490000006</v>
      </c>
      <c r="F9" s="11"/>
      <c r="H9" s="11">
        <f>#N/A</f>
        <v>3702.5624900000075</v>
      </c>
      <c r="I9" s="11">
        <f>#N/A</f>
        <v>4072.8187390000085</v>
      </c>
    </row>
    <row r="10" spans="1:9" ht="12.75" hidden="1">
      <c r="A10">
        <v>9</v>
      </c>
      <c r="B10" s="11">
        <f>#N/A</f>
        <v>214358.88100000017</v>
      </c>
      <c r="C10" s="11">
        <f>#N/A</f>
        <v>235794.7691000002</v>
      </c>
      <c r="D10" s="11">
        <f>#N/A</f>
        <v>21435.88810000004</v>
      </c>
      <c r="E10" s="11">
        <f>#N/A</f>
        <v>4072.8187390000076</v>
      </c>
      <c r="F10" s="11"/>
      <c r="H10" s="11">
        <f>#N/A</f>
        <v>4072.8187390000085</v>
      </c>
      <c r="I10" s="11">
        <f>#N/A</f>
        <v>4480.10061290001</v>
      </c>
    </row>
    <row r="11" spans="1:9" ht="12.75" hidden="1">
      <c r="A11">
        <v>10</v>
      </c>
      <c r="B11" s="11">
        <f>#N/A</f>
        <v>235794.7691000002</v>
      </c>
      <c r="C11" s="11">
        <f>#N/A</f>
        <v>259374.24601000026</v>
      </c>
      <c r="D11" s="11">
        <f>#N/A</f>
        <v>23579.476910000056</v>
      </c>
      <c r="E11" s="11">
        <f>#N/A</f>
        <v>4480.100612900011</v>
      </c>
      <c r="F11" s="11"/>
      <c r="H11" s="11">
        <f>#N/A</f>
        <v>4480.10061290001</v>
      </c>
      <c r="I11" s="11">
        <f>#N/A</f>
        <v>4928.110674190011</v>
      </c>
    </row>
    <row r="12" spans="1:9" ht="12.75" hidden="1">
      <c r="A12">
        <v>11</v>
      </c>
      <c r="B12" s="11">
        <f>#N/A</f>
        <v>259374.24601000026</v>
      </c>
      <c r="C12" s="11">
        <f>#N/A</f>
        <v>285311.6706110003</v>
      </c>
      <c r="D12" s="11">
        <f>#N/A</f>
        <v>25937.424601000064</v>
      </c>
      <c r="E12" s="11">
        <f>#N/A</f>
        <v>4928.110674190012</v>
      </c>
      <c r="F12" s="11"/>
      <c r="H12" s="11">
        <f>#N/A</f>
        <v>4928.110674190011</v>
      </c>
      <c r="I12" s="11">
        <f>#N/A</f>
        <v>5420.921741609012</v>
      </c>
    </row>
    <row r="13" spans="1:9" ht="12.75" hidden="1">
      <c r="A13">
        <v>12</v>
      </c>
      <c r="B13" s="11">
        <f>#N/A</f>
        <v>285311.6706110003</v>
      </c>
      <c r="C13" s="11">
        <f>#N/A</f>
        <v>313842.8376721004</v>
      </c>
      <c r="D13" s="11">
        <f>#N/A</f>
        <v>28531.167061100074</v>
      </c>
      <c r="E13" s="11">
        <f>#N/A</f>
        <v>5420.921741609014</v>
      </c>
      <c r="F13" s="11"/>
      <c r="H13" s="11">
        <f>#N/A</f>
        <v>5420.921741609012</v>
      </c>
      <c r="I13" s="11">
        <f>#N/A</f>
        <v>5963.013915769914</v>
      </c>
    </row>
    <row r="14" spans="1:9" ht="12.75" hidden="1">
      <c r="A14">
        <v>13</v>
      </c>
      <c r="B14" s="11">
        <f>#N/A</f>
        <v>313842.8376721004</v>
      </c>
      <c r="C14" s="11">
        <f>#N/A</f>
        <v>345227.1214393105</v>
      </c>
      <c r="D14" s="11">
        <f>#N/A</f>
        <v>31384.283767210087</v>
      </c>
      <c r="E14" s="11">
        <f>#N/A</f>
        <v>5963.013915769917</v>
      </c>
      <c r="F14" s="11"/>
      <c r="H14" s="11">
        <f>#N/A</f>
        <v>5963.013915769914</v>
      </c>
      <c r="I14" s="11">
        <f>#N/A</f>
        <v>6559.315307346906</v>
      </c>
    </row>
    <row r="15" spans="1:9" ht="12.75" hidden="1">
      <c r="A15">
        <v>14</v>
      </c>
      <c r="B15" s="11">
        <f>#N/A</f>
        <v>345227.1214393105</v>
      </c>
      <c r="C15" s="11">
        <f>#N/A</f>
        <v>379749.83358324156</v>
      </c>
      <c r="D15" s="11">
        <f>#N/A</f>
        <v>34522.71214393107</v>
      </c>
      <c r="E15" s="11">
        <f>#N/A</f>
        <v>6559.315307346904</v>
      </c>
      <c r="F15" s="11"/>
      <c r="H15" s="11">
        <f>#N/A</f>
        <v>6559.315307346906</v>
      </c>
      <c r="I15" s="11">
        <f>#N/A</f>
        <v>7215.246838081597</v>
      </c>
    </row>
    <row r="16" spans="1:9" ht="12.75" hidden="1">
      <c r="A16">
        <v>15</v>
      </c>
      <c r="B16" s="11">
        <f>#N/A</f>
        <v>379749.83358324156</v>
      </c>
      <c r="C16" s="11">
        <f>#N/A</f>
        <v>417724.8169415658</v>
      </c>
      <c r="D16" s="11">
        <f>#N/A</f>
        <v>37974.983358324214</v>
      </c>
      <c r="E16" s="11">
        <f>#N/A</f>
        <v>7215.246838081601</v>
      </c>
      <c r="F16" s="11"/>
      <c r="H16" s="11">
        <f>#N/A</f>
        <v>7215.246838081597</v>
      </c>
      <c r="I16" s="11">
        <f>#N/A</f>
        <v>7936.771521889757</v>
      </c>
    </row>
    <row r="17" spans="1:9" ht="12.75" hidden="1">
      <c r="A17">
        <v>16</v>
      </c>
      <c r="B17" s="11">
        <f>#N/A</f>
        <v>417724.8169415658</v>
      </c>
      <c r="C17" s="11">
        <f>#N/A</f>
        <v>459497.29863572237</v>
      </c>
      <c r="D17" s="11">
        <f>#N/A</f>
        <v>41772.481694156595</v>
      </c>
      <c r="E17" s="11">
        <f>#N/A</f>
        <v>7936.771521889753</v>
      </c>
      <c r="F17" s="11"/>
      <c r="H17" s="11">
        <f>#N/A</f>
        <v>7936.771521889757</v>
      </c>
      <c r="I17" s="11">
        <f>#N/A</f>
        <v>8730.448674078734</v>
      </c>
    </row>
    <row r="18" spans="1:9" ht="12.75" hidden="1">
      <c r="A18">
        <v>17</v>
      </c>
      <c r="B18" s="11">
        <f>#N/A</f>
        <v>459497.29863572237</v>
      </c>
      <c r="C18" s="11">
        <f>#N/A</f>
        <v>505447.02849929465</v>
      </c>
      <c r="D18" s="11">
        <f>#N/A</f>
        <v>45949.729863572284</v>
      </c>
      <c r="E18" s="11">
        <f>#N/A</f>
        <v>8730.448674078734</v>
      </c>
      <c r="F18" s="11"/>
      <c r="H18" s="11">
        <f>#N/A</f>
        <v>8730.448674078734</v>
      </c>
      <c r="I18" s="11">
        <f>#N/A</f>
        <v>9603.493541486609</v>
      </c>
    </row>
    <row r="19" spans="1:9" ht="12.75" hidden="1">
      <c r="A19">
        <v>18</v>
      </c>
      <c r="B19" s="11">
        <f>#N/A</f>
        <v>505447.02849929465</v>
      </c>
      <c r="C19" s="11">
        <f>#N/A</f>
        <v>555991.7313492241</v>
      </c>
      <c r="D19" s="11">
        <f>#N/A</f>
        <v>50544.702849929454</v>
      </c>
      <c r="E19" s="11">
        <f>#N/A</f>
        <v>9603.493541486596</v>
      </c>
      <c r="F19" s="11"/>
      <c r="H19" s="11">
        <f>#N/A</f>
        <v>9603.493541486609</v>
      </c>
      <c r="I19" s="11">
        <f>#N/A</f>
        <v>10563.84289563527</v>
      </c>
    </row>
    <row r="20" spans="1:9" ht="12.75" hidden="1">
      <c r="A20">
        <v>19</v>
      </c>
      <c r="B20" s="11">
        <f>#N/A</f>
        <v>555991.7313492241</v>
      </c>
      <c r="C20" s="11">
        <f>#N/A</f>
        <v>611590.9044841466</v>
      </c>
      <c r="D20" s="11">
        <f>#N/A</f>
        <v>55599.173134922516</v>
      </c>
      <c r="E20" s="11">
        <f>#N/A</f>
        <v>10563.842895635278</v>
      </c>
      <c r="F20" s="11"/>
      <c r="H20" s="11">
        <f>#N/A</f>
        <v>10563.84289563527</v>
      </c>
      <c r="I20" s="11">
        <f>#N/A</f>
        <v>11620.227185198799</v>
      </c>
    </row>
    <row r="21" spans="1:9" ht="12.75" hidden="1">
      <c r="A21">
        <v>20</v>
      </c>
      <c r="B21" s="11">
        <f>#N/A</f>
        <v>611590.9044841466</v>
      </c>
      <c r="C21" s="11">
        <f>#N/A</f>
        <v>672749.9949325613</v>
      </c>
      <c r="D21" s="11">
        <f>#N/A</f>
        <v>61159.090448414674</v>
      </c>
      <c r="E21" s="11">
        <f>#N/A</f>
        <v>11620.227185198788</v>
      </c>
      <c r="F21" s="11"/>
      <c r="H21" s="11">
        <f>#N/A</f>
        <v>11620.227185198799</v>
      </c>
      <c r="I21" s="11">
        <f>#N/A</f>
        <v>12782.249903718679</v>
      </c>
    </row>
    <row r="22" spans="1:9" ht="12.75" hidden="1">
      <c r="A22">
        <v>21</v>
      </c>
      <c r="B22" s="11">
        <f>#N/A</f>
        <v>672749.9949325613</v>
      </c>
      <c r="C22" s="11">
        <f>#N/A</f>
        <v>740024.9944258175</v>
      </c>
      <c r="D22" s="11">
        <f>#N/A</f>
        <v>67274.99949325621</v>
      </c>
      <c r="E22" s="11">
        <f>#N/A</f>
        <v>12782.24990371868</v>
      </c>
      <c r="F22" s="11"/>
      <c r="H22" s="11">
        <f>#N/A</f>
        <v>12782.249903718679</v>
      </c>
      <c r="I22" s="11">
        <f>#N/A</f>
        <v>14060.474894090548</v>
      </c>
    </row>
    <row r="23" spans="1:9" ht="12.75" hidden="1">
      <c r="A23">
        <v>22</v>
      </c>
      <c r="B23" s="11">
        <f>#N/A</f>
        <v>740024.9944258175</v>
      </c>
      <c r="C23" s="11">
        <f>#N/A</f>
        <v>814027.4938683993</v>
      </c>
      <c r="D23" s="11">
        <f>#N/A</f>
        <v>74002.49944258179</v>
      </c>
      <c r="E23" s="11">
        <f>#N/A</f>
        <v>14060.47489409054</v>
      </c>
      <c r="F23" s="11"/>
      <c r="H23" s="11">
        <f>#N/A</f>
        <v>14060.474894090548</v>
      </c>
      <c r="I23" s="11">
        <f>#N/A</f>
        <v>15466.522383499605</v>
      </c>
    </row>
    <row r="24" spans="1:9" ht="12.75" hidden="1">
      <c r="A24">
        <v>23</v>
      </c>
      <c r="B24" s="11">
        <f>#N/A</f>
        <v>814027.4938683993</v>
      </c>
      <c r="C24" s="11">
        <f>#N/A</f>
        <v>895430.2432552393</v>
      </c>
      <c r="D24" s="11">
        <f>#N/A</f>
        <v>81402.74938684003</v>
      </c>
      <c r="E24" s="11">
        <f>#N/A</f>
        <v>15466.522383499607</v>
      </c>
      <c r="F24" s="11"/>
      <c r="H24" s="11">
        <f>#N/A</f>
        <v>15466.522383499605</v>
      </c>
      <c r="I24" s="11">
        <f>#N/A</f>
        <v>17013.17462184957</v>
      </c>
    </row>
    <row r="25" spans="1:9" ht="12.75" hidden="1">
      <c r="A25">
        <v>24</v>
      </c>
      <c r="B25" s="11">
        <f>#N/A</f>
        <v>895430.2432552393</v>
      </c>
      <c r="C25" s="11">
        <f>#N/A</f>
        <v>984973.2675807633</v>
      </c>
      <c r="D25" s="11">
        <f>#N/A</f>
        <v>89543.02432552399</v>
      </c>
      <c r="E25" s="11">
        <f>#N/A</f>
        <v>17013.174621849557</v>
      </c>
      <c r="F25" s="11"/>
      <c r="H25" s="11">
        <f>#N/A</f>
        <v>17013.17462184957</v>
      </c>
      <c r="I25" s="11">
        <f>#N/A</f>
        <v>18714.492084034526</v>
      </c>
    </row>
    <row r="26" spans="1:9" ht="12.75" hidden="1">
      <c r="A26">
        <v>25</v>
      </c>
      <c r="B26" s="11">
        <f>#N/A</f>
        <v>984973.2675807633</v>
      </c>
      <c r="C26" s="11">
        <f>#N/A</f>
        <v>1083470.5943388396</v>
      </c>
      <c r="D26" s="11">
        <f>#N/A</f>
        <v>98497.32675807632</v>
      </c>
      <c r="E26" s="11">
        <f>#N/A</f>
        <v>18714.4920840345</v>
      </c>
      <c r="F26" s="11"/>
      <c r="H26" s="11">
        <f>#N/A</f>
        <v>18714.492084034526</v>
      </c>
      <c r="I26" s="11">
        <f>#N/A</f>
        <v>20585.94129243798</v>
      </c>
    </row>
    <row r="27" spans="1:9" ht="12.75" hidden="1">
      <c r="A27">
        <v>26</v>
      </c>
      <c r="B27" s="11">
        <f>#N/A</f>
        <v>1083470.5943388396</v>
      </c>
      <c r="C27" s="11">
        <f>#N/A</f>
        <v>1191817.6537727236</v>
      </c>
      <c r="D27" s="11">
        <f>#N/A</f>
        <v>108347.05943388399</v>
      </c>
      <c r="E27" s="11">
        <f>#N/A</f>
        <v>20585.941292437958</v>
      </c>
      <c r="F27" s="11"/>
      <c r="H27" s="11">
        <f>#N/A</f>
        <v>20585.94129243798</v>
      </c>
      <c r="I27" s="11">
        <f>#N/A</f>
        <v>22644.53542168178</v>
      </c>
    </row>
    <row r="28" spans="1:9" ht="12.75" hidden="1">
      <c r="A28">
        <v>27</v>
      </c>
      <c r="B28" s="11">
        <f>#N/A</f>
        <v>1191817.6537727236</v>
      </c>
      <c r="C28" s="11">
        <f>#N/A</f>
        <v>1310999.419149996</v>
      </c>
      <c r="D28" s="11">
        <f>#N/A</f>
        <v>119181.76537727239</v>
      </c>
      <c r="E28" s="11">
        <f>#N/A</f>
        <v>22644.535421681754</v>
      </c>
      <c r="F28" s="11"/>
      <c r="H28" s="11">
        <f>#N/A</f>
        <v>22644.53542168178</v>
      </c>
      <c r="I28" s="11">
        <f>#N/A</f>
        <v>24908.98896384996</v>
      </c>
    </row>
    <row r="29" spans="1:9" ht="12.75" hidden="1">
      <c r="A29">
        <v>28</v>
      </c>
      <c r="B29" s="11">
        <f>#N/A</f>
        <v>1310999.419149996</v>
      </c>
      <c r="C29" s="11">
        <f>#N/A</f>
        <v>1442099.3610649956</v>
      </c>
      <c r="D29" s="11">
        <f>#N/A</f>
        <v>131099.94191499962</v>
      </c>
      <c r="E29" s="11">
        <f>#N/A</f>
        <v>24908.98896384993</v>
      </c>
      <c r="F29" s="11"/>
      <c r="H29" s="11">
        <f>#N/A</f>
        <v>24908.98896384996</v>
      </c>
      <c r="I29" s="11">
        <f>#N/A</f>
        <v>27399.887860234958</v>
      </c>
    </row>
    <row r="30" spans="1:9" ht="12.75" hidden="1">
      <c r="A30">
        <v>29</v>
      </c>
      <c r="B30" s="11">
        <f>#N/A</f>
        <v>1442099.3610649956</v>
      </c>
      <c r="C30" s="11">
        <f>#N/A</f>
        <v>1586309.2971714954</v>
      </c>
      <c r="D30" s="11">
        <f>#N/A</f>
        <v>144209.93610649975</v>
      </c>
      <c r="E30" s="11">
        <f>#N/A</f>
        <v>27399.887860234954</v>
      </c>
      <c r="F30" s="11"/>
      <c r="H30" s="11">
        <f>#N/A</f>
        <v>27399.887860234958</v>
      </c>
      <c r="I30" s="11">
        <f>#N/A</f>
        <v>30139.876646258457</v>
      </c>
    </row>
    <row r="31" spans="1:9" ht="51.75" customHeight="1">
      <c r="A31">
        <v>30</v>
      </c>
      <c r="B31" s="11">
        <f>#N/A</f>
        <v>1586309.2971714954</v>
      </c>
      <c r="C31" s="11">
        <f>#N/A</f>
        <v>1744940.226888645</v>
      </c>
      <c r="D31" s="11">
        <f>#N/A</f>
        <v>158630.9297171496</v>
      </c>
      <c r="E31" s="11">
        <f>#N/A</f>
        <v>30139.87664625842</v>
      </c>
      <c r="F31" s="11"/>
      <c r="H31" s="11">
        <f>#N/A</f>
        <v>30139.876646258457</v>
      </c>
      <c r="I31" s="11">
        <f>#N/A</f>
        <v>33153.8643108843</v>
      </c>
    </row>
    <row r="32" spans="1:9" ht="12.75">
      <c r="A32">
        <v>31</v>
      </c>
      <c r="B32" s="11">
        <f>#N/A</f>
        <v>1744940.226888645</v>
      </c>
      <c r="C32" s="11">
        <f>#N/A</f>
        <v>1919434.2495775097</v>
      </c>
      <c r="D32" s="11">
        <f>#N/A</f>
        <v>174494.02268886473</v>
      </c>
      <c r="E32" s="11">
        <f>#N/A</f>
        <v>33153.8643108843</v>
      </c>
      <c r="F32" s="11"/>
      <c r="H32" s="11">
        <f>#N/A</f>
        <v>33153.8643108843</v>
      </c>
      <c r="I32" s="11">
        <f>#N/A</f>
        <v>36469.25074197273</v>
      </c>
    </row>
    <row r="33" spans="1:9" ht="12.75">
      <c r="A33">
        <v>32</v>
      </c>
      <c r="B33" s="11">
        <f>#N/A</f>
        <v>1919434.2495775097</v>
      </c>
      <c r="C33" s="11">
        <f>#N/A</f>
        <v>2111377.674535261</v>
      </c>
      <c r="D33" s="11">
        <f>#N/A</f>
        <v>191943.4249577513</v>
      </c>
      <c r="E33" s="11">
        <f>#N/A</f>
        <v>36469.25074197275</v>
      </c>
      <c r="F33" s="11"/>
      <c r="H33" s="11">
        <f>#N/A</f>
        <v>36469.25074197273</v>
      </c>
      <c r="I33" s="11">
        <f>#N/A</f>
        <v>40116.17581617001</v>
      </c>
    </row>
    <row r="34" spans="1:9" ht="12.75">
      <c r="A34">
        <v>33</v>
      </c>
      <c r="B34" s="11">
        <f>#N/A</f>
        <v>2111377.674535261</v>
      </c>
      <c r="C34" s="11">
        <f>#N/A</f>
        <v>2322515.441988787</v>
      </c>
      <c r="D34" s="11">
        <f>#N/A</f>
        <v>211137.76745352615</v>
      </c>
      <c r="E34" s="11">
        <f>#N/A</f>
        <v>40116.17581616997</v>
      </c>
      <c r="F34" s="11"/>
      <c r="H34" s="11">
        <f>#N/A</f>
        <v>40116.17581617001</v>
      </c>
      <c r="I34" s="11">
        <f>#N/A</f>
        <v>44127.79339778702</v>
      </c>
    </row>
    <row r="35" spans="1:9" ht="12.75">
      <c r="A35">
        <v>34</v>
      </c>
      <c r="B35" s="11">
        <f>#N/A</f>
        <v>2322515.441988787</v>
      </c>
      <c r="C35" s="11">
        <f>#N/A</f>
        <v>2554766.986187666</v>
      </c>
      <c r="D35" s="11">
        <f>#N/A</f>
        <v>232251.54419887904</v>
      </c>
      <c r="E35" s="11">
        <f>#N/A</f>
        <v>44127.79339778702</v>
      </c>
      <c r="F35" s="11"/>
      <c r="H35" s="11">
        <f>#N/A</f>
        <v>44127.79339778702</v>
      </c>
      <c r="I35" s="11">
        <f>#N/A</f>
        <v>48540.57273756572</v>
      </c>
    </row>
    <row r="36" spans="1:9" ht="12.75">
      <c r="A36">
        <v>35</v>
      </c>
      <c r="B36" s="11">
        <f>#N/A</f>
        <v>2554766.986187666</v>
      </c>
      <c r="C36" s="11">
        <f>#N/A</f>
        <v>2810243.684806433</v>
      </c>
      <c r="D36" s="11">
        <f>#N/A</f>
        <v>255476.69861876685</v>
      </c>
      <c r="E36" s="11">
        <f>#N/A</f>
        <v>48540.5727375657</v>
      </c>
      <c r="F36" s="11"/>
      <c r="H36" s="11">
        <f>#N/A</f>
        <v>48540.57273756572</v>
      </c>
      <c r="I36" s="11">
        <f>#N/A</f>
        <v>53394.6300113223</v>
      </c>
    </row>
    <row r="37" spans="1:9" ht="15">
      <c r="A37" s="125" t="s">
        <v>165</v>
      </c>
      <c r="B37" s="126"/>
      <c r="C37" s="126">
        <f>C36-B2</f>
        <v>2710243.684806433</v>
      </c>
      <c r="D37" s="126">
        <f>SUM(D2:D36)</f>
        <v>2710243.684806433</v>
      </c>
      <c r="E37" s="126">
        <f>SUM(E2:E36)</f>
        <v>514946.3001132223</v>
      </c>
      <c r="F37" s="126"/>
      <c r="H37" s="126"/>
      <c r="I37" s="126">
        <f>SUM(I2:I36)</f>
        <v>566440.9301245448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160" zoomScaleNormal="160" zoomScalePageLayoutView="0" workbookViewId="0" topLeftCell="A1">
      <selection activeCell="D12" sqref="D12"/>
    </sheetView>
  </sheetViews>
  <sheetFormatPr defaultColWidth="9.140625" defaultRowHeight="12.75"/>
  <cols>
    <col min="1" max="1" width="38.57421875" style="189" customWidth="1"/>
    <col min="2" max="2" width="22.140625" style="189" customWidth="1"/>
    <col min="3" max="3" width="21.7109375" style="189" customWidth="1"/>
    <col min="4" max="4" width="11.57421875" style="189" customWidth="1"/>
    <col min="5" max="16384" width="9.140625" style="189" customWidth="1"/>
  </cols>
  <sheetData>
    <row r="1" spans="2:4" ht="13.5" thickBot="1">
      <c r="B1" s="220" t="s">
        <v>84</v>
      </c>
      <c r="D1" s="213"/>
    </row>
    <row r="2" spans="1:4" ht="15">
      <c r="A2" s="192" t="s">
        <v>134</v>
      </c>
      <c r="B2" s="193" t="s">
        <v>43</v>
      </c>
      <c r="C2" s="194" t="s">
        <v>44</v>
      </c>
      <c r="D2" s="195" t="s">
        <v>148</v>
      </c>
    </row>
    <row r="3" spans="1:4" ht="15">
      <c r="A3" s="196" t="s">
        <v>145</v>
      </c>
      <c r="B3" s="197">
        <v>30000</v>
      </c>
      <c r="C3" s="198"/>
      <c r="D3" s="214">
        <f>B3*0.23</f>
        <v>6900</v>
      </c>
    </row>
    <row r="4" spans="1:4" ht="15">
      <c r="A4" s="196" t="s">
        <v>47</v>
      </c>
      <c r="B4" s="197"/>
      <c r="C4" s="198">
        <v>25286.95</v>
      </c>
      <c r="D4" s="215">
        <v>0</v>
      </c>
    </row>
    <row r="5" spans="1:4" ht="15">
      <c r="A5" s="196" t="s">
        <v>48</v>
      </c>
      <c r="B5" s="197"/>
      <c r="C5" s="198">
        <v>1763.05</v>
      </c>
      <c r="D5" s="215">
        <v>0</v>
      </c>
    </row>
    <row r="6" spans="1:4" ht="15">
      <c r="A6" s="196" t="s">
        <v>49</v>
      </c>
      <c r="B6" s="197"/>
      <c r="C6" s="198">
        <v>100</v>
      </c>
      <c r="D6" s="215">
        <f>C6*0.23</f>
        <v>23</v>
      </c>
    </row>
    <row r="7" spans="1:4" ht="15">
      <c r="A7" s="196" t="s">
        <v>50</v>
      </c>
      <c r="B7" s="197"/>
      <c r="C7" s="198">
        <v>150</v>
      </c>
      <c r="D7" s="215">
        <f>C7*0.23</f>
        <v>34.5</v>
      </c>
    </row>
    <row r="8" spans="1:4" ht="15">
      <c r="A8" s="196" t="s">
        <v>38</v>
      </c>
      <c r="B8" s="197"/>
      <c r="C8" s="198">
        <v>400</v>
      </c>
      <c r="D8" s="215">
        <f>C8*0.23/2</f>
        <v>46</v>
      </c>
    </row>
    <row r="9" spans="1:4" ht="15">
      <c r="A9" s="199" t="s">
        <v>71</v>
      </c>
      <c r="B9" s="200"/>
      <c r="C9" s="201">
        <v>750</v>
      </c>
      <c r="D9" s="215">
        <v>0</v>
      </c>
    </row>
    <row r="10" spans="1:4" ht="15">
      <c r="A10" s="199" t="s">
        <v>149</v>
      </c>
      <c r="B10" s="200"/>
      <c r="C10" s="201">
        <v>1200</v>
      </c>
      <c r="D10" s="215">
        <v>0</v>
      </c>
    </row>
    <row r="11" spans="1:4" ht="15.75" thickBot="1">
      <c r="A11" s="202" t="s">
        <v>51</v>
      </c>
      <c r="B11" s="203"/>
      <c r="C11" s="204">
        <v>350</v>
      </c>
      <c r="D11" s="215">
        <f>C11*0.23</f>
        <v>80.5</v>
      </c>
    </row>
    <row r="12" spans="1:5" ht="15.75" thickTop="1">
      <c r="A12" s="205"/>
      <c r="B12" s="218">
        <f>SUM(B3:B11)</f>
        <v>30000</v>
      </c>
      <c r="C12" s="218">
        <f>SUM(C4:C11)</f>
        <v>30000</v>
      </c>
      <c r="D12" s="214">
        <f>D3-D4-D5-D6-D7-D8-D9-D10-D11</f>
        <v>6716</v>
      </c>
      <c r="E12" s="207" t="s">
        <v>150</v>
      </c>
    </row>
    <row r="13" spans="1:4" ht="20.25">
      <c r="A13" s="208" t="s">
        <v>117</v>
      </c>
      <c r="B13" s="197"/>
      <c r="C13" s="209" t="s">
        <v>147</v>
      </c>
      <c r="D13" s="213"/>
    </row>
    <row r="17" spans="1:3" ht="12.75">
      <c r="A17" s="272">
        <v>1000</v>
      </c>
      <c r="B17" s="189" t="s">
        <v>196</v>
      </c>
      <c r="C17" s="189" t="s">
        <v>197</v>
      </c>
    </row>
    <row r="18" ht="12.75">
      <c r="A18" s="189">
        <f>5000/1.23</f>
        <v>4065.040650406504</v>
      </c>
    </row>
  </sheetData>
  <sheetProtection sheet="1"/>
  <hyperlinks>
    <hyperlink ref="A13" location="_ftn1" display="_ftn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3.28125" style="189" customWidth="1"/>
    <col min="2" max="2" width="20.421875" style="189" customWidth="1"/>
    <col min="3" max="3" width="17.7109375" style="189" customWidth="1"/>
    <col min="4" max="16384" width="9.140625" style="189" customWidth="1"/>
  </cols>
  <sheetData>
    <row r="1" spans="1:3" ht="18.75">
      <c r="A1" s="188"/>
      <c r="B1" s="188"/>
      <c r="C1" s="188" t="s">
        <v>181</v>
      </c>
    </row>
    <row r="2" spans="1:3" ht="18.75">
      <c r="A2" s="188" t="s">
        <v>126</v>
      </c>
      <c r="B2" s="190">
        <v>200000</v>
      </c>
      <c r="C2" s="190"/>
    </row>
    <row r="3" spans="1:3" ht="18.75">
      <c r="A3" s="188" t="s">
        <v>122</v>
      </c>
      <c r="B3" s="187">
        <f>B2/1.23</f>
        <v>162601.62601626015</v>
      </c>
      <c r="C3" s="191">
        <f>B2-B3</f>
        <v>37398.373983739846</v>
      </c>
    </row>
    <row r="4" spans="1:3" ht="18.75">
      <c r="A4" s="188" t="s">
        <v>182</v>
      </c>
      <c r="B4" s="187">
        <f>B2/1.08</f>
        <v>185185.18518518517</v>
      </c>
      <c r="C4" s="191">
        <f>B2-B4</f>
        <v>14814.814814814832</v>
      </c>
    </row>
  </sheetData>
  <sheetProtection sheet="1" formatCells="0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="160" zoomScaleNormal="160" zoomScalePageLayoutView="0" workbookViewId="0" topLeftCell="A1">
      <selection activeCell="C4" sqref="C4"/>
    </sheetView>
  </sheetViews>
  <sheetFormatPr defaultColWidth="9.140625" defaultRowHeight="12.75"/>
  <cols>
    <col min="1" max="1" width="33.421875" style="189" customWidth="1"/>
    <col min="2" max="2" width="17.7109375" style="189" customWidth="1"/>
    <col min="3" max="3" width="21.8515625" style="189" customWidth="1"/>
    <col min="4" max="4" width="11.57421875" style="213" bestFit="1" customWidth="1"/>
    <col min="5" max="5" width="12.8515625" style="189" bestFit="1" customWidth="1"/>
    <col min="6" max="16384" width="9.140625" style="189" customWidth="1"/>
  </cols>
  <sheetData>
    <row r="1" spans="1:4" ht="15">
      <c r="A1" s="192" t="s">
        <v>134</v>
      </c>
      <c r="B1" s="193" t="s">
        <v>43</v>
      </c>
      <c r="C1" s="194" t="s">
        <v>44</v>
      </c>
      <c r="D1" s="195" t="s">
        <v>148</v>
      </c>
    </row>
    <row r="2" spans="1:4" ht="13.5" customHeight="1">
      <c r="A2" s="196" t="s">
        <v>145</v>
      </c>
      <c r="B2" s="197">
        <v>10000</v>
      </c>
      <c r="C2" s="198"/>
      <c r="D2" s="214">
        <f>B2*0.23</f>
        <v>2300</v>
      </c>
    </row>
    <row r="3" spans="1:4" ht="13.5" customHeight="1">
      <c r="A3" s="196" t="s">
        <v>48</v>
      </c>
      <c r="B3" s="197"/>
      <c r="C3" s="198">
        <v>1000</v>
      </c>
      <c r="D3" s="215">
        <f>C3*0.23</f>
        <v>230</v>
      </c>
    </row>
    <row r="4" spans="1:4" ht="13.5" customHeight="1">
      <c r="A4" s="196" t="s">
        <v>49</v>
      </c>
      <c r="B4" s="197"/>
      <c r="C4" s="198">
        <v>100</v>
      </c>
      <c r="D4" s="215">
        <f>C4*0.23</f>
        <v>23</v>
      </c>
    </row>
    <row r="5" spans="1:4" ht="13.5" customHeight="1">
      <c r="A5" s="196" t="s">
        <v>50</v>
      </c>
      <c r="B5" s="197"/>
      <c r="C5" s="198">
        <v>150</v>
      </c>
      <c r="D5" s="215">
        <f>C5*0.23</f>
        <v>34.5</v>
      </c>
    </row>
    <row r="6" spans="1:4" ht="13.5" customHeight="1">
      <c r="A6" s="196" t="s">
        <v>38</v>
      </c>
      <c r="B6" s="197"/>
      <c r="C6" s="198">
        <v>400</v>
      </c>
      <c r="D6" s="215">
        <f>C6*0.23/2</f>
        <v>46</v>
      </c>
    </row>
    <row r="7" spans="1:4" ht="13.5" customHeight="1">
      <c r="A7" s="199" t="s">
        <v>71</v>
      </c>
      <c r="B7" s="200"/>
      <c r="C7" s="201">
        <v>500</v>
      </c>
      <c r="D7" s="215"/>
    </row>
    <row r="8" spans="1:4" ht="13.5" customHeight="1" thickBot="1">
      <c r="A8" s="202" t="s">
        <v>51</v>
      </c>
      <c r="B8" s="203"/>
      <c r="C8" s="204">
        <v>100</v>
      </c>
      <c r="D8" s="215">
        <f>C8*0.23</f>
        <v>23</v>
      </c>
    </row>
    <row r="9" spans="1:5" ht="13.5" customHeight="1" thickTop="1">
      <c r="A9" s="205"/>
      <c r="B9" s="206"/>
      <c r="C9" s="218">
        <f>SUM(C3:C8)</f>
        <v>2250</v>
      </c>
      <c r="D9" s="215">
        <f>D2-SUM(D3:D8)</f>
        <v>1943.5</v>
      </c>
      <c r="E9" s="207"/>
    </row>
    <row r="10" spans="1:4" ht="21" customHeight="1">
      <c r="A10" s="208" t="s">
        <v>117</v>
      </c>
      <c r="B10" s="197"/>
      <c r="C10" s="217">
        <f>B2-C9</f>
        <v>7750</v>
      </c>
      <c r="D10" s="216">
        <f>C10*0.23</f>
        <v>1782.5</v>
      </c>
    </row>
    <row r="11" spans="1:4" ht="15">
      <c r="A11" s="210"/>
      <c r="B11" s="211"/>
      <c r="C11" s="211"/>
      <c r="D11" s="212"/>
    </row>
    <row r="15" ht="13.5" customHeight="1"/>
    <row r="16" ht="13.5" customHeight="1"/>
    <row r="18" ht="13.5" customHeight="1"/>
    <row r="25" spans="1:4" ht="15">
      <c r="A25" s="210"/>
      <c r="B25" s="211"/>
      <c r="C25" s="211"/>
      <c r="D25" s="212"/>
    </row>
  </sheetData>
  <sheetProtection sheet="1"/>
  <hyperlinks>
    <hyperlink ref="A10" location="_ftn1" display="_ftn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="175" zoomScaleNormal="175" zoomScalePageLayoutView="0" workbookViewId="0" topLeftCell="A1">
      <selection activeCell="C20" activeCellId="5" sqref="C2 C4 C5 C17 C19 C20"/>
    </sheetView>
  </sheetViews>
  <sheetFormatPr defaultColWidth="9.140625" defaultRowHeight="12.75"/>
  <cols>
    <col min="1" max="1" width="26.7109375" style="189" customWidth="1"/>
    <col min="2" max="16384" width="9.140625" style="189" customWidth="1"/>
  </cols>
  <sheetData>
    <row r="1" spans="2:5" ht="12.75">
      <c r="B1" s="189" t="s">
        <v>172</v>
      </c>
      <c r="C1" s="189" t="s">
        <v>173</v>
      </c>
      <c r="D1" s="189" t="s">
        <v>148</v>
      </c>
      <c r="E1" s="189" t="s">
        <v>152</v>
      </c>
    </row>
    <row r="2" spans="1:5" ht="12.75">
      <c r="A2" s="189" t="s">
        <v>174</v>
      </c>
      <c r="B2" s="189">
        <v>25000</v>
      </c>
      <c r="C2" s="243">
        <v>0.08</v>
      </c>
      <c r="D2" s="230">
        <f>B2*0.08</f>
        <v>2000</v>
      </c>
      <c r="E2" s="230">
        <f>B2+D2</f>
        <v>27000</v>
      </c>
    </row>
    <row r="3" spans="1:9" ht="12.75">
      <c r="A3" s="189" t="s">
        <v>175</v>
      </c>
      <c r="C3" s="219"/>
      <c r="I3" s="220" t="s">
        <v>165</v>
      </c>
    </row>
    <row r="4" spans="1:9" ht="12.75">
      <c r="A4" s="189" t="s">
        <v>187</v>
      </c>
      <c r="B4" s="221">
        <v>12000</v>
      </c>
      <c r="C4" s="244">
        <v>0.23</v>
      </c>
      <c r="D4" s="231">
        <f>B4*0.23</f>
        <v>2760</v>
      </c>
      <c r="E4" s="231">
        <f>B4+D4</f>
        <v>14760</v>
      </c>
      <c r="F4" s="224" t="s">
        <v>190</v>
      </c>
      <c r="G4" s="224"/>
      <c r="H4" s="230">
        <f>B4*0.08</f>
        <v>960</v>
      </c>
      <c r="I4" s="230">
        <f>D4-H4</f>
        <v>1800</v>
      </c>
    </row>
    <row r="5" spans="1:9" ht="12.75">
      <c r="A5" s="189" t="s">
        <v>176</v>
      </c>
      <c r="B5" s="189">
        <v>1000</v>
      </c>
      <c r="C5" s="244">
        <v>0.23</v>
      </c>
      <c r="D5" s="231">
        <f>B5*0.23</f>
        <v>230</v>
      </c>
      <c r="E5" s="231">
        <f>B5+D5</f>
        <v>1230</v>
      </c>
      <c r="F5" s="224" t="s">
        <v>190</v>
      </c>
      <c r="G5" s="224"/>
      <c r="H5" s="230">
        <f>B5*0.08</f>
        <v>80</v>
      </c>
      <c r="I5" s="230">
        <f>D5-H5</f>
        <v>150</v>
      </c>
    </row>
    <row r="6" spans="1:5" ht="12.75">
      <c r="A6" s="223" t="s">
        <v>186</v>
      </c>
      <c r="B6" s="223">
        <v>5500</v>
      </c>
      <c r="C6" s="222" t="s">
        <v>177</v>
      </c>
      <c r="D6" s="223">
        <v>0</v>
      </c>
      <c r="E6" s="231">
        <f>B6+D6</f>
        <v>5500</v>
      </c>
    </row>
    <row r="7" spans="1:5" ht="12.75">
      <c r="A7" s="225" t="s">
        <v>180</v>
      </c>
      <c r="B7" s="233">
        <f>SUM(B4:B6)</f>
        <v>18500</v>
      </c>
      <c r="C7" s="227"/>
      <c r="D7" s="226"/>
      <c r="E7" s="232">
        <f>SUM(E4:E6)</f>
        <v>21490</v>
      </c>
    </row>
    <row r="8" spans="1:5" ht="12.75">
      <c r="A8" s="226" t="s">
        <v>178</v>
      </c>
      <c r="B8" s="226"/>
      <c r="C8" s="227"/>
      <c r="D8" s="232">
        <f>SUM(D4:D6)</f>
        <v>2990</v>
      </c>
      <c r="E8" s="226"/>
    </row>
    <row r="9" spans="1:4" ht="15.75">
      <c r="A9" s="189" t="s">
        <v>179</v>
      </c>
      <c r="D9" s="234">
        <f>D8-D2</f>
        <v>990</v>
      </c>
    </row>
    <row r="10" spans="1:2" ht="12.75">
      <c r="A10" s="189" t="s">
        <v>188</v>
      </c>
      <c r="B10" s="235">
        <f>B2-B7</f>
        <v>6500</v>
      </c>
    </row>
    <row r="11" spans="1:5" ht="15.75">
      <c r="A11" s="220" t="s">
        <v>189</v>
      </c>
      <c r="B11" s="236">
        <f>B10+D9</f>
        <v>7490</v>
      </c>
      <c r="C11" s="238" t="s">
        <v>193</v>
      </c>
      <c r="D11" s="238"/>
      <c r="E11" s="240">
        <f>E2</f>
        <v>27000</v>
      </c>
    </row>
    <row r="14" ht="12.75">
      <c r="A14" s="220" t="s">
        <v>191</v>
      </c>
    </row>
    <row r="16" spans="2:5" ht="12.75">
      <c r="B16" s="189" t="s">
        <v>172</v>
      </c>
      <c r="C16" s="189" t="s">
        <v>173</v>
      </c>
      <c r="D16" s="189" t="s">
        <v>148</v>
      </c>
      <c r="E16" s="189" t="s">
        <v>152</v>
      </c>
    </row>
    <row r="17" spans="1:5" ht="12.75">
      <c r="A17" s="189" t="s">
        <v>174</v>
      </c>
      <c r="B17" s="230">
        <f>B2-B4</f>
        <v>13000</v>
      </c>
      <c r="C17" s="243">
        <v>0.08</v>
      </c>
      <c r="D17" s="230">
        <f>B17*0.08</f>
        <v>1040</v>
      </c>
      <c r="E17" s="230">
        <f>B17+D17</f>
        <v>14040</v>
      </c>
    </row>
    <row r="18" spans="1:9" ht="12.75">
      <c r="A18" s="189" t="s">
        <v>175</v>
      </c>
      <c r="C18" s="219"/>
      <c r="I18" s="220" t="s">
        <v>165</v>
      </c>
    </row>
    <row r="19" spans="1:9" ht="12.75">
      <c r="A19" s="189" t="s">
        <v>187</v>
      </c>
      <c r="B19" s="229">
        <v>0</v>
      </c>
      <c r="C19" s="244">
        <v>0.23</v>
      </c>
      <c r="D19" s="231">
        <f>B19*0.23</f>
        <v>0</v>
      </c>
      <c r="E19" s="231">
        <f>B19+D19</f>
        <v>0</v>
      </c>
      <c r="F19" s="207"/>
      <c r="H19" s="230">
        <f>B19*0.08</f>
        <v>0</v>
      </c>
      <c r="I19" s="230">
        <f>D19-H19</f>
        <v>0</v>
      </c>
    </row>
    <row r="20" spans="1:9" ht="12.75">
      <c r="A20" s="189" t="s">
        <v>176</v>
      </c>
      <c r="B20" s="189">
        <v>1000</v>
      </c>
      <c r="C20" s="244">
        <v>0.23</v>
      </c>
      <c r="D20" s="231">
        <f>B20*0.23</f>
        <v>230</v>
      </c>
      <c r="E20" s="231">
        <f>B20+D20</f>
        <v>1230</v>
      </c>
      <c r="F20" s="207" t="s">
        <v>190</v>
      </c>
      <c r="H20" s="230">
        <f>B20*0.08</f>
        <v>80</v>
      </c>
      <c r="I20" s="230">
        <f>D20-H20</f>
        <v>150</v>
      </c>
    </row>
    <row r="21" spans="1:5" ht="12.75">
      <c r="A21" s="223" t="s">
        <v>186</v>
      </c>
      <c r="B21" s="223">
        <v>5500</v>
      </c>
      <c r="C21" s="222" t="s">
        <v>177</v>
      </c>
      <c r="D21" s="223">
        <v>0</v>
      </c>
      <c r="E21" s="231">
        <f>B21+D21</f>
        <v>5500</v>
      </c>
    </row>
    <row r="22" spans="1:5" ht="12.75">
      <c r="A22" s="225" t="s">
        <v>180</v>
      </c>
      <c r="B22" s="233">
        <f>SUM(B19:B21)</f>
        <v>6500</v>
      </c>
      <c r="C22" s="227"/>
      <c r="D22" s="226"/>
      <c r="E22" s="232">
        <f>SUM(E19:E21)</f>
        <v>6730</v>
      </c>
    </row>
    <row r="23" spans="1:5" ht="12.75">
      <c r="A23" s="226" t="s">
        <v>178</v>
      </c>
      <c r="B23" s="226"/>
      <c r="C23" s="227"/>
      <c r="D23" s="232">
        <f>SUM(D19:D21)</f>
        <v>230</v>
      </c>
      <c r="E23" s="226"/>
    </row>
    <row r="24" spans="1:4" ht="15.75">
      <c r="A24" s="189" t="s">
        <v>179</v>
      </c>
      <c r="D24" s="234">
        <f>D23-D17</f>
        <v>-810</v>
      </c>
    </row>
    <row r="25" spans="1:2" ht="12.75">
      <c r="A25" s="189" t="s">
        <v>188</v>
      </c>
      <c r="B25" s="235">
        <f>B17-B22</f>
        <v>6500</v>
      </c>
    </row>
    <row r="26" spans="1:7" ht="15.75">
      <c r="A26" s="220" t="s">
        <v>189</v>
      </c>
      <c r="B26" s="236">
        <f>B25+D24</f>
        <v>5690</v>
      </c>
      <c r="D26" s="239" t="s">
        <v>193</v>
      </c>
      <c r="E26" s="237">
        <f>E17+E4</f>
        <v>28800</v>
      </c>
      <c r="G26" s="189" t="s">
        <v>198</v>
      </c>
    </row>
  </sheetData>
  <sheetProtection sheet="1"/>
  <mergeCells count="1">
    <mergeCell ref="C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="160" zoomScaleNormal="160" zoomScalePageLayoutView="0" workbookViewId="0" topLeftCell="A13">
      <selection activeCell="D37" sqref="D37"/>
    </sheetView>
  </sheetViews>
  <sheetFormatPr defaultColWidth="9.140625" defaultRowHeight="12.75"/>
  <cols>
    <col min="1" max="1" width="38.00390625" style="189" customWidth="1"/>
    <col min="2" max="3" width="9.140625" style="189" customWidth="1"/>
    <col min="4" max="4" width="10.7109375" style="189" customWidth="1"/>
    <col min="5" max="5" width="9.7109375" style="189" bestFit="1" customWidth="1"/>
    <col min="6" max="16384" width="9.140625" style="189" customWidth="1"/>
  </cols>
  <sheetData>
    <row r="1" ht="12.75">
      <c r="A1" s="189" t="s">
        <v>199</v>
      </c>
    </row>
    <row r="2" spans="1:5" ht="12.75">
      <c r="A2" s="189" t="s">
        <v>200</v>
      </c>
      <c r="B2" s="241">
        <v>13000</v>
      </c>
      <c r="E2" s="230">
        <f>B2*1.08</f>
        <v>14040.000000000002</v>
      </c>
    </row>
    <row r="3" spans="1:5" ht="12.75">
      <c r="A3" s="189" t="s">
        <v>203</v>
      </c>
      <c r="B3" s="241">
        <v>0</v>
      </c>
      <c r="E3" s="230">
        <f>B3*1.23</f>
        <v>0</v>
      </c>
    </row>
    <row r="4" spans="1:2" ht="12.75">
      <c r="A4" s="189" t="s">
        <v>204</v>
      </c>
      <c r="B4" s="241">
        <v>12000</v>
      </c>
    </row>
    <row r="5" spans="1:9" ht="12.75">
      <c r="A5" s="189" t="s">
        <v>201</v>
      </c>
      <c r="B5" s="241">
        <v>1000</v>
      </c>
      <c r="I5" s="241"/>
    </row>
    <row r="6" spans="1:2" ht="12.75">
      <c r="A6" s="189" t="s">
        <v>202</v>
      </c>
      <c r="B6" s="241">
        <v>5500</v>
      </c>
    </row>
    <row r="8" spans="2:5" ht="12.75">
      <c r="B8" s="189" t="s">
        <v>172</v>
      </c>
      <c r="C8" s="189" t="s">
        <v>173</v>
      </c>
      <c r="D8" s="189" t="s">
        <v>148</v>
      </c>
      <c r="E8" s="189" t="s">
        <v>152</v>
      </c>
    </row>
    <row r="9" spans="1:5" ht="12.75">
      <c r="A9" s="189" t="s">
        <v>174</v>
      </c>
      <c r="B9" s="230">
        <f>B2+B4</f>
        <v>25000</v>
      </c>
      <c r="C9" s="243">
        <v>0.08</v>
      </c>
      <c r="D9" s="230">
        <f>B9*0.08</f>
        <v>2000</v>
      </c>
      <c r="E9" s="230">
        <f>B9+D9</f>
        <v>27000</v>
      </c>
    </row>
    <row r="10" spans="1:9" ht="12.75">
      <c r="A10" s="189" t="s">
        <v>175</v>
      </c>
      <c r="C10" s="219"/>
      <c r="I10" s="220" t="s">
        <v>165</v>
      </c>
    </row>
    <row r="11" spans="1:9" ht="12.75">
      <c r="A11" s="189" t="s">
        <v>205</v>
      </c>
      <c r="B11" s="230">
        <f>B3</f>
        <v>0</v>
      </c>
      <c r="C11" s="219"/>
      <c r="I11" s="220"/>
    </row>
    <row r="12" spans="1:9" ht="12.75">
      <c r="A12" s="189" t="s">
        <v>206</v>
      </c>
      <c r="B12" s="235">
        <f>B4</f>
        <v>12000</v>
      </c>
      <c r="C12" s="244">
        <v>0.23</v>
      </c>
      <c r="D12" s="231">
        <f>B12*0.23</f>
        <v>2760</v>
      </c>
      <c r="E12" s="231">
        <f>B12+D12</f>
        <v>14760</v>
      </c>
      <c r="F12" s="224" t="s">
        <v>190</v>
      </c>
      <c r="G12" s="224"/>
      <c r="H12" s="230">
        <f>B12*0.08</f>
        <v>960</v>
      </c>
      <c r="I12" s="230">
        <f>D12-H12</f>
        <v>1800</v>
      </c>
    </row>
    <row r="13" spans="1:9" ht="12.75">
      <c r="A13" s="189" t="s">
        <v>176</v>
      </c>
      <c r="B13" s="230">
        <f>B5</f>
        <v>1000</v>
      </c>
      <c r="C13" s="244">
        <v>0.23</v>
      </c>
      <c r="D13" s="231">
        <f>B13*0.23</f>
        <v>230</v>
      </c>
      <c r="E13" s="231">
        <f>B13+D13</f>
        <v>1230</v>
      </c>
      <c r="F13" s="224" t="s">
        <v>190</v>
      </c>
      <c r="G13" s="224"/>
      <c r="H13" s="230">
        <f>B13*0.08</f>
        <v>80</v>
      </c>
      <c r="I13" s="230">
        <f>D13-H13</f>
        <v>150</v>
      </c>
    </row>
    <row r="14" spans="1:5" ht="12.75">
      <c r="A14" s="223" t="s">
        <v>186</v>
      </c>
      <c r="B14" s="231">
        <f>B6</f>
        <v>5500</v>
      </c>
      <c r="C14" s="222" t="s">
        <v>177</v>
      </c>
      <c r="D14" s="223">
        <v>0</v>
      </c>
      <c r="E14" s="231">
        <f>B14+D14</f>
        <v>5500</v>
      </c>
    </row>
    <row r="15" spans="1:5" ht="12.75">
      <c r="A15" s="225" t="s">
        <v>180</v>
      </c>
      <c r="B15" s="233">
        <f>SUM(B12:B14)</f>
        <v>18500</v>
      </c>
      <c r="C15" s="227"/>
      <c r="D15" s="226"/>
      <c r="E15" s="232">
        <f>SUM(E12:E14)</f>
        <v>21490</v>
      </c>
    </row>
    <row r="16" spans="1:5" ht="12.75">
      <c r="A16" s="226" t="s">
        <v>178</v>
      </c>
      <c r="B16" s="226"/>
      <c r="C16" s="227"/>
      <c r="D16" s="232">
        <f>SUM(D12:D14)</f>
        <v>2990</v>
      </c>
      <c r="E16" s="226"/>
    </row>
    <row r="17" spans="1:4" ht="15.75">
      <c r="A17" s="189" t="s">
        <v>179</v>
      </c>
      <c r="D17" s="234">
        <f>D16-D9</f>
        <v>990</v>
      </c>
    </row>
    <row r="18" spans="1:2" ht="12.75">
      <c r="A18" s="189" t="s">
        <v>188</v>
      </c>
      <c r="B18" s="235">
        <f>B9-B15</f>
        <v>6500</v>
      </c>
    </row>
    <row r="19" spans="1:5" ht="15.75">
      <c r="A19" s="220" t="s">
        <v>189</v>
      </c>
      <c r="B19" s="236">
        <f>B18+D17</f>
        <v>7490</v>
      </c>
      <c r="D19" s="228" t="s">
        <v>192</v>
      </c>
      <c r="E19" s="230">
        <f>E2+B12+H12+E3</f>
        <v>27000</v>
      </c>
    </row>
    <row r="20" spans="1:4" ht="15.75">
      <c r="A20" s="220" t="s">
        <v>195</v>
      </c>
      <c r="B20" s="236">
        <f>B9*0.055+518</f>
        <v>1893</v>
      </c>
      <c r="D20" s="228"/>
    </row>
    <row r="21" spans="1:2" ht="12.75">
      <c r="A21" s="220" t="s">
        <v>194</v>
      </c>
      <c r="B21" s="235">
        <f>B18*0.239</f>
        <v>1553.5</v>
      </c>
    </row>
    <row r="22" spans="1:10" ht="12.75">
      <c r="A22" s="242"/>
      <c r="B22" s="242"/>
      <c r="C22" s="242"/>
      <c r="D22" s="242"/>
      <c r="E22" s="242"/>
      <c r="F22" s="242"/>
      <c r="G22" s="242"/>
      <c r="H22" s="242"/>
      <c r="I22" s="242"/>
      <c r="J22" s="242"/>
    </row>
    <row r="23" ht="12.75">
      <c r="A23" s="220" t="s">
        <v>191</v>
      </c>
    </row>
    <row r="25" spans="2:5" ht="12.75">
      <c r="B25" s="189" t="s">
        <v>172</v>
      </c>
      <c r="C25" s="189" t="s">
        <v>173</v>
      </c>
      <c r="D25" s="189" t="s">
        <v>148</v>
      </c>
      <c r="E25" s="189" t="s">
        <v>152</v>
      </c>
    </row>
    <row r="26" spans="1:5" ht="12.75">
      <c r="A26" s="189" t="s">
        <v>174</v>
      </c>
      <c r="B26" s="230">
        <f>B9-B12</f>
        <v>13000</v>
      </c>
      <c r="C26" s="243">
        <v>0.08</v>
      </c>
      <c r="D26" s="230">
        <f>B26*0.08</f>
        <v>1040</v>
      </c>
      <c r="E26" s="230">
        <f>B26+D26</f>
        <v>14040</v>
      </c>
    </row>
    <row r="27" spans="1:9" ht="12.75">
      <c r="A27" s="189" t="s">
        <v>175</v>
      </c>
      <c r="C27" s="219"/>
      <c r="I27" s="220" t="s">
        <v>165</v>
      </c>
    </row>
    <row r="28" spans="1:9" ht="12.75">
      <c r="A28" s="189" t="s">
        <v>187</v>
      </c>
      <c r="B28" s="229">
        <v>0</v>
      </c>
      <c r="C28" s="244">
        <v>0.23</v>
      </c>
      <c r="D28" s="231">
        <f>B28*0.23</f>
        <v>0</v>
      </c>
      <c r="E28" s="231">
        <f>B28+D28</f>
        <v>0</v>
      </c>
      <c r="F28" s="207"/>
      <c r="H28" s="230">
        <f>B28*0.08</f>
        <v>0</v>
      </c>
      <c r="I28" s="230">
        <f>D28-H28</f>
        <v>0</v>
      </c>
    </row>
    <row r="29" spans="1:9" ht="12.75">
      <c r="A29" s="189" t="s">
        <v>176</v>
      </c>
      <c r="B29" s="189">
        <v>1000</v>
      </c>
      <c r="C29" s="244">
        <v>0.23</v>
      </c>
      <c r="D29" s="231">
        <f>B29*0.23</f>
        <v>230</v>
      </c>
      <c r="E29" s="231">
        <f>B29+D29</f>
        <v>1230</v>
      </c>
      <c r="F29" s="207" t="s">
        <v>190</v>
      </c>
      <c r="H29" s="230">
        <f>B29*0.08</f>
        <v>80</v>
      </c>
      <c r="I29" s="230">
        <f>D29-H29</f>
        <v>150</v>
      </c>
    </row>
    <row r="30" spans="1:5" ht="12.75">
      <c r="A30" s="223" t="s">
        <v>186</v>
      </c>
      <c r="B30" s="223">
        <v>5500</v>
      </c>
      <c r="C30" s="222" t="s">
        <v>177</v>
      </c>
      <c r="D30" s="223">
        <v>0</v>
      </c>
      <c r="E30" s="231">
        <f>B30+D30</f>
        <v>5500</v>
      </c>
    </row>
    <row r="31" spans="1:5" ht="12.75">
      <c r="A31" s="225" t="s">
        <v>180</v>
      </c>
      <c r="B31" s="233">
        <f>SUM(B28:B30)</f>
        <v>6500</v>
      </c>
      <c r="C31" s="227"/>
      <c r="D31" s="226"/>
      <c r="E31" s="232">
        <f>SUM(E28:E30)</f>
        <v>6730</v>
      </c>
    </row>
    <row r="32" spans="1:5" ht="12.75">
      <c r="A32" s="226" t="s">
        <v>178</v>
      </c>
      <c r="B32" s="226"/>
      <c r="C32" s="227"/>
      <c r="D32" s="232">
        <f>SUM(D28:D30)</f>
        <v>230</v>
      </c>
      <c r="E32" s="226"/>
    </row>
    <row r="33" spans="1:4" ht="15.75">
      <c r="A33" s="189" t="s">
        <v>179</v>
      </c>
      <c r="D33" s="234">
        <f>D32-D26</f>
        <v>-810</v>
      </c>
    </row>
    <row r="34" spans="1:2" ht="12.75">
      <c r="A34" s="189" t="s">
        <v>188</v>
      </c>
      <c r="B34" s="235">
        <f>B26-B31</f>
        <v>6500</v>
      </c>
    </row>
    <row r="35" spans="1:5" ht="15.75">
      <c r="A35" s="220" t="s">
        <v>189</v>
      </c>
      <c r="B35" s="236">
        <f>B34+D33</f>
        <v>5690</v>
      </c>
      <c r="C35" s="230">
        <f>B35*0.239</f>
        <v>1359.9099999999999</v>
      </c>
      <c r="D35" s="239" t="s">
        <v>193</v>
      </c>
      <c r="E35" s="237">
        <f>E26+E12</f>
        <v>28800</v>
      </c>
    </row>
    <row r="36" spans="1:2" ht="15.75">
      <c r="A36" s="220" t="s">
        <v>195</v>
      </c>
      <c r="B36" s="236">
        <f>B26*0.055+518</f>
        <v>1233</v>
      </c>
    </row>
    <row r="37" spans="1:2" ht="12.75">
      <c r="A37" s="220" t="s">
        <v>194</v>
      </c>
      <c r="B37" s="235">
        <f>B34*0.239</f>
        <v>1553.5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1"/>
  <sheetViews>
    <sheetView zoomScale="175" zoomScaleNormal="175" zoomScalePageLayoutView="0" workbookViewId="0" topLeftCell="A13">
      <selection activeCell="B16" activeCellId="2" sqref="B19:B21 B17 B16"/>
    </sheetView>
  </sheetViews>
  <sheetFormatPr defaultColWidth="9.140625" defaultRowHeight="12.75"/>
  <cols>
    <col min="1" max="1" width="52.28125" style="189" customWidth="1"/>
    <col min="2" max="2" width="21.00390625" style="254" customWidth="1"/>
    <col min="3" max="16384" width="9.140625" style="189" customWidth="1"/>
  </cols>
  <sheetData>
    <row r="1" spans="1:2" ht="15.75">
      <c r="A1" s="245" t="s">
        <v>184</v>
      </c>
      <c r="B1" s="246"/>
    </row>
    <row r="2" spans="1:2" ht="15.75">
      <c r="A2" s="245" t="s">
        <v>121</v>
      </c>
      <c r="B2" s="247">
        <v>100000</v>
      </c>
    </row>
    <row r="3" spans="1:2" ht="15.75">
      <c r="A3" s="245" t="s">
        <v>122</v>
      </c>
      <c r="B3" s="248">
        <v>23000</v>
      </c>
    </row>
    <row r="4" spans="1:2" ht="15.75">
      <c r="A4" s="245" t="s">
        <v>183</v>
      </c>
      <c r="B4" s="247">
        <f>B3/2</f>
        <v>11500</v>
      </c>
    </row>
    <row r="5" spans="1:2" ht="18">
      <c r="A5" s="249" t="s">
        <v>130</v>
      </c>
      <c r="B5" s="250">
        <f>SUM(B4:B4)</f>
        <v>11500</v>
      </c>
    </row>
    <row r="6" spans="1:2" ht="15.75">
      <c r="A6" s="245" t="s">
        <v>126</v>
      </c>
      <c r="B6" s="247">
        <v>50000</v>
      </c>
    </row>
    <row r="7" spans="1:2" ht="15.75">
      <c r="A7" s="245" t="s">
        <v>127</v>
      </c>
      <c r="B7" s="251">
        <f>B6*0.23</f>
        <v>11500</v>
      </c>
    </row>
    <row r="8" spans="1:2" ht="15.75">
      <c r="A8" s="245" t="s">
        <v>185</v>
      </c>
      <c r="B8" s="251">
        <v>0</v>
      </c>
    </row>
    <row r="9" spans="1:2" ht="18">
      <c r="A9" s="252" t="s">
        <v>128</v>
      </c>
      <c r="B9" s="253">
        <f>B4-B7</f>
        <v>0</v>
      </c>
    </row>
    <row r="13" spans="1:2" ht="15.75">
      <c r="A13" s="245" t="s">
        <v>103</v>
      </c>
      <c r="B13" s="246"/>
    </row>
    <row r="14" spans="1:2" ht="15.75">
      <c r="A14" s="245" t="s">
        <v>121</v>
      </c>
      <c r="B14" s="247">
        <v>100000</v>
      </c>
    </row>
    <row r="15" spans="1:2" ht="15.75">
      <c r="A15" s="245" t="s">
        <v>122</v>
      </c>
      <c r="B15" s="248">
        <v>23000</v>
      </c>
    </row>
    <row r="16" spans="1:2" ht="15.75">
      <c r="A16" s="245" t="s">
        <v>183</v>
      </c>
      <c r="B16" s="258">
        <f>B15/2</f>
        <v>11500</v>
      </c>
    </row>
    <row r="17" spans="1:2" ht="18">
      <c r="A17" s="249" t="s">
        <v>130</v>
      </c>
      <c r="B17" s="257">
        <f>SUM(B16:B16)</f>
        <v>11500</v>
      </c>
    </row>
    <row r="18" spans="1:2" ht="15.75">
      <c r="A18" s="245" t="s">
        <v>126</v>
      </c>
      <c r="B18" s="247">
        <v>65000</v>
      </c>
    </row>
    <row r="19" spans="1:2" ht="15.75">
      <c r="A19" s="245" t="s">
        <v>127</v>
      </c>
      <c r="B19" s="255">
        <f>B18*0.23</f>
        <v>14950</v>
      </c>
    </row>
    <row r="20" spans="1:2" ht="15.75">
      <c r="A20" s="245" t="s">
        <v>185</v>
      </c>
      <c r="B20" s="255">
        <f>B16*2/5</f>
        <v>4600</v>
      </c>
    </row>
    <row r="21" spans="1:2" ht="18">
      <c r="A21" s="252" t="s">
        <v>128</v>
      </c>
      <c r="B21" s="256">
        <f>B16-B19+B20</f>
        <v>1150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5"/>
  <sheetViews>
    <sheetView zoomScale="190" zoomScaleNormal="190" zoomScalePageLayoutView="0" workbookViewId="0" topLeftCell="A13">
      <selection activeCell="B25" activeCellId="5" sqref="B19 B20 B21 B22 B24 B25"/>
    </sheetView>
  </sheetViews>
  <sheetFormatPr defaultColWidth="9.140625" defaultRowHeight="12.75"/>
  <cols>
    <col min="1" max="1" width="47.140625" style="189" customWidth="1"/>
    <col min="2" max="2" width="28.7109375" style="189" customWidth="1"/>
    <col min="3" max="3" width="18.8515625" style="189" customWidth="1"/>
    <col min="4" max="16384" width="9.140625" style="189" customWidth="1"/>
  </cols>
  <sheetData>
    <row r="1" spans="1:2" ht="15.75">
      <c r="A1" s="245" t="s">
        <v>118</v>
      </c>
      <c r="B1" s="259" t="s">
        <v>119</v>
      </c>
    </row>
    <row r="2" spans="1:2" ht="15.75">
      <c r="A2" s="245" t="s">
        <v>121</v>
      </c>
      <c r="B2" s="260">
        <v>100000</v>
      </c>
    </row>
    <row r="3" spans="1:2" ht="15.75">
      <c r="A3" s="245" t="s">
        <v>122</v>
      </c>
      <c r="B3" s="261">
        <v>23000</v>
      </c>
    </row>
    <row r="4" spans="1:2" ht="15.75">
      <c r="A4" s="245" t="s">
        <v>125</v>
      </c>
      <c r="B4" s="261">
        <v>40000</v>
      </c>
    </row>
    <row r="5" spans="1:2" ht="15.75">
      <c r="A5" s="245" t="s">
        <v>124</v>
      </c>
      <c r="B5" s="260">
        <f>B4*0.115</f>
        <v>4600</v>
      </c>
    </row>
    <row r="6" spans="1:2" ht="15.75">
      <c r="A6" s="245" t="s">
        <v>123</v>
      </c>
      <c r="B6" s="260">
        <f>B2*0.3*0.115</f>
        <v>3450</v>
      </c>
    </row>
    <row r="7" spans="1:2" ht="15.75">
      <c r="A7" s="245" t="s">
        <v>129</v>
      </c>
      <c r="B7" s="260">
        <f>B2*0.3*0.23</f>
        <v>6900</v>
      </c>
    </row>
    <row r="8" spans="1:2" ht="18">
      <c r="A8" s="249" t="s">
        <v>130</v>
      </c>
      <c r="B8" s="262">
        <f>SUM(B5:B7)</f>
        <v>14950</v>
      </c>
    </row>
    <row r="9" spans="1:2" ht="15.75">
      <c r="A9" s="245" t="s">
        <v>126</v>
      </c>
      <c r="B9" s="260">
        <v>50000</v>
      </c>
    </row>
    <row r="10" spans="1:2" ht="15.75">
      <c r="A10" s="245" t="s">
        <v>127</v>
      </c>
      <c r="B10" s="263">
        <f>B9*0.23</f>
        <v>11500</v>
      </c>
    </row>
    <row r="11" spans="1:2" ht="18">
      <c r="A11" s="252" t="s">
        <v>128</v>
      </c>
      <c r="B11" s="264">
        <f>B5+B6+B7-B10</f>
        <v>3450</v>
      </c>
    </row>
    <row r="15" ht="15.75">
      <c r="B15" s="265" t="s">
        <v>120</v>
      </c>
    </row>
    <row r="16" spans="1:2" ht="15.75">
      <c r="A16" s="245" t="s">
        <v>121</v>
      </c>
      <c r="B16" s="260">
        <v>100000</v>
      </c>
    </row>
    <row r="17" spans="1:2" ht="15.75">
      <c r="A17" s="245" t="s">
        <v>122</v>
      </c>
      <c r="B17" s="261">
        <v>23000</v>
      </c>
    </row>
    <row r="18" spans="1:2" ht="15.75">
      <c r="A18" s="245" t="s">
        <v>125</v>
      </c>
      <c r="B18" s="261">
        <v>40000</v>
      </c>
    </row>
    <row r="19" spans="1:2" ht="15.75">
      <c r="A19" s="245" t="s">
        <v>124</v>
      </c>
      <c r="B19" s="266">
        <f>B18*0.115</f>
        <v>4600</v>
      </c>
    </row>
    <row r="20" spans="1:2" ht="15.75">
      <c r="A20" s="245" t="s">
        <v>123</v>
      </c>
      <c r="B20" s="266">
        <f>B16*0.59*0.115</f>
        <v>6785</v>
      </c>
    </row>
    <row r="21" spans="1:2" ht="15.75">
      <c r="A21" s="245" t="s">
        <v>129</v>
      </c>
      <c r="B21" s="266">
        <f>B16*0.01*0.23</f>
        <v>230</v>
      </c>
    </row>
    <row r="22" spans="1:2" ht="18">
      <c r="A22" s="249" t="s">
        <v>130</v>
      </c>
      <c r="B22" s="267">
        <f>SUM(B19:B21)</f>
        <v>11615</v>
      </c>
    </row>
    <row r="23" spans="1:2" ht="15.75">
      <c r="A23" s="245" t="s">
        <v>126</v>
      </c>
      <c r="B23" s="260">
        <v>50000</v>
      </c>
    </row>
    <row r="24" spans="1:2" ht="15.75">
      <c r="A24" s="245" t="s">
        <v>127</v>
      </c>
      <c r="B24" s="268">
        <f>B23*0.23</f>
        <v>11500</v>
      </c>
    </row>
    <row r="25" spans="1:2" ht="18">
      <c r="A25" s="252" t="s">
        <v>128</v>
      </c>
      <c r="B25" s="269">
        <f>B19+B20+B21-B24</f>
        <v>115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="160" zoomScaleNormal="160" zoomScalePageLayoutView="0" workbookViewId="0" topLeftCell="A1">
      <selection activeCell="D2" sqref="D2:D10"/>
    </sheetView>
  </sheetViews>
  <sheetFormatPr defaultColWidth="9.140625" defaultRowHeight="12.75"/>
  <cols>
    <col min="1" max="1" width="33.421875" style="189" customWidth="1"/>
    <col min="2" max="2" width="17.7109375" style="189" customWidth="1"/>
    <col min="3" max="3" width="21.8515625" style="189" customWidth="1"/>
    <col min="4" max="4" width="11.57421875" style="213" bestFit="1" customWidth="1"/>
    <col min="5" max="5" width="12.8515625" style="189" bestFit="1" customWidth="1"/>
    <col min="6" max="16384" width="9.140625" style="189" customWidth="1"/>
  </cols>
  <sheetData>
    <row r="1" spans="1:4" ht="15">
      <c r="A1" s="192" t="s">
        <v>134</v>
      </c>
      <c r="B1" s="193" t="s">
        <v>43</v>
      </c>
      <c r="C1" s="194" t="s">
        <v>44</v>
      </c>
      <c r="D1" s="195" t="s">
        <v>148</v>
      </c>
    </row>
    <row r="2" spans="1:4" ht="13.5" customHeight="1">
      <c r="A2" s="196" t="s">
        <v>145</v>
      </c>
      <c r="B2" s="197">
        <v>30000</v>
      </c>
      <c r="C2" s="198"/>
      <c r="D2" s="214">
        <f>B2*0.23</f>
        <v>6900</v>
      </c>
    </row>
    <row r="3" spans="1:4" ht="13.5" customHeight="1">
      <c r="A3" s="196" t="s">
        <v>47</v>
      </c>
      <c r="B3" s="197"/>
      <c r="C3" s="198">
        <v>25286.95</v>
      </c>
      <c r="D3" s="215">
        <f>C3*0.23</f>
        <v>5815.998500000001</v>
      </c>
    </row>
    <row r="4" spans="1:4" ht="13.5" customHeight="1">
      <c r="A4" s="196" t="s">
        <v>48</v>
      </c>
      <c r="B4" s="197"/>
      <c r="C4" s="198">
        <v>1763.05</v>
      </c>
      <c r="D4" s="215">
        <v>0</v>
      </c>
    </row>
    <row r="5" spans="1:4" ht="13.5" customHeight="1">
      <c r="A5" s="196" t="s">
        <v>49</v>
      </c>
      <c r="B5" s="197"/>
      <c r="C5" s="198">
        <v>100</v>
      </c>
      <c r="D5" s="215">
        <f>C5*0.23</f>
        <v>23</v>
      </c>
    </row>
    <row r="6" spans="1:4" ht="13.5" customHeight="1">
      <c r="A6" s="196" t="s">
        <v>50</v>
      </c>
      <c r="B6" s="197"/>
      <c r="C6" s="198">
        <v>150</v>
      </c>
      <c r="D6" s="215">
        <f>C6*0.23</f>
        <v>34.5</v>
      </c>
    </row>
    <row r="7" spans="1:4" ht="13.5" customHeight="1">
      <c r="A7" s="196" t="s">
        <v>38</v>
      </c>
      <c r="B7" s="197"/>
      <c r="C7" s="198">
        <v>400</v>
      </c>
      <c r="D7" s="215">
        <f>C7*0.23/2</f>
        <v>46</v>
      </c>
    </row>
    <row r="8" spans="1:4" ht="13.5" customHeight="1">
      <c r="A8" s="199" t="s">
        <v>71</v>
      </c>
      <c r="B8" s="200"/>
      <c r="C8" s="201">
        <v>750</v>
      </c>
      <c r="D8" s="215">
        <v>0</v>
      </c>
    </row>
    <row r="9" spans="1:4" ht="13.5" customHeight="1">
      <c r="A9" s="199" t="s">
        <v>149</v>
      </c>
      <c r="B9" s="200"/>
      <c r="C9" s="201">
        <v>1200</v>
      </c>
      <c r="D9" s="215">
        <v>0</v>
      </c>
    </row>
    <row r="10" spans="1:4" ht="13.5" customHeight="1" thickBot="1">
      <c r="A10" s="202" t="s">
        <v>51</v>
      </c>
      <c r="B10" s="203"/>
      <c r="C10" s="204">
        <v>350</v>
      </c>
      <c r="D10" s="215">
        <f>C10*0.23</f>
        <v>80.5</v>
      </c>
    </row>
    <row r="11" spans="1:5" ht="13.5" customHeight="1" thickTop="1">
      <c r="A11" s="205"/>
      <c r="B11" s="271">
        <f>B2</f>
        <v>30000</v>
      </c>
      <c r="C11" s="218">
        <f>SUM(C3:C10)</f>
        <v>30000</v>
      </c>
      <c r="D11" s="214">
        <f>D2-D3-D4-D5-D6-D7-D8-D9-D10</f>
        <v>900.0014999999994</v>
      </c>
      <c r="E11" s="207" t="s">
        <v>150</v>
      </c>
    </row>
    <row r="12" spans="1:4" ht="21" customHeight="1">
      <c r="A12" s="208" t="s">
        <v>117</v>
      </c>
      <c r="B12" s="197"/>
      <c r="C12" s="209" t="s">
        <v>147</v>
      </c>
      <c r="D12" s="270"/>
    </row>
    <row r="13" spans="1:4" ht="15">
      <c r="A13" s="210"/>
      <c r="B13" s="211"/>
      <c r="C13" s="211"/>
      <c r="D13" s="212"/>
    </row>
    <row r="17" ht="13.5" customHeight="1"/>
    <row r="18" ht="13.5" customHeight="1"/>
    <row r="20" ht="13.5" customHeight="1"/>
    <row r="27" spans="1:4" ht="15">
      <c r="A27" s="210"/>
      <c r="B27" s="211"/>
      <c r="C27" s="211"/>
      <c r="D27" s="212"/>
    </row>
  </sheetData>
  <sheetProtection sheet="1"/>
  <hyperlinks>
    <hyperlink ref="A12" location="_ftn1" display="_ftn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4">
      <selection activeCell="K29" sqref="K29"/>
    </sheetView>
  </sheetViews>
  <sheetFormatPr defaultColWidth="9.140625" defaultRowHeight="12.75"/>
  <cols>
    <col min="8" max="8" width="13.28125" style="0" customWidth="1"/>
    <col min="11" max="11" width="16.00390625" style="0" customWidth="1"/>
    <col min="12" max="12" width="18.140625" style="0" customWidth="1"/>
    <col min="13" max="13" width="14.57421875" style="0" customWidth="1"/>
  </cols>
  <sheetData>
    <row r="1" spans="1:9" ht="12.75">
      <c r="A1" s="132"/>
      <c r="B1" s="132"/>
      <c r="C1" s="132"/>
      <c r="D1" s="132"/>
      <c r="E1" s="133"/>
      <c r="F1" s="133"/>
      <c r="G1" s="133"/>
      <c r="H1" s="133"/>
      <c r="I1" s="133"/>
    </row>
    <row r="2" spans="1:9" ht="18" customHeight="1">
      <c r="A2" s="174" t="s">
        <v>34</v>
      </c>
      <c r="B2" s="174"/>
      <c r="C2" s="174"/>
      <c r="D2" s="174"/>
      <c r="E2" s="134" t="s">
        <v>0</v>
      </c>
      <c r="F2" s="134"/>
      <c r="G2" s="134"/>
      <c r="H2" s="134"/>
      <c r="I2" s="134"/>
    </row>
    <row r="3" spans="1:9" ht="25.5" customHeight="1">
      <c r="A3" s="175"/>
      <c r="B3" s="175"/>
      <c r="C3" s="175"/>
      <c r="D3" s="175"/>
      <c r="E3" s="134" t="s">
        <v>1</v>
      </c>
      <c r="F3" s="134"/>
      <c r="G3" s="134"/>
      <c r="H3" s="134"/>
      <c r="I3" s="134"/>
    </row>
    <row r="4" spans="1:9" ht="13.5" thickBot="1">
      <c r="A4" s="135"/>
      <c r="B4" s="135"/>
      <c r="C4" s="135"/>
      <c r="D4" s="135"/>
      <c r="E4" s="135"/>
      <c r="F4" s="135"/>
      <c r="G4" s="135"/>
      <c r="H4" s="135"/>
      <c r="I4" s="135"/>
    </row>
    <row r="5" spans="1:9" ht="13.5" thickBot="1">
      <c r="A5" s="136" t="s">
        <v>2</v>
      </c>
      <c r="B5" s="137"/>
      <c r="C5" s="138"/>
      <c r="D5" s="139" t="s">
        <v>40</v>
      </c>
      <c r="E5" s="140"/>
      <c r="F5" s="139">
        <v>2009</v>
      </c>
      <c r="G5" s="140"/>
      <c r="H5" s="1">
        <v>2010</v>
      </c>
      <c r="I5" s="1"/>
    </row>
    <row r="6" spans="1:9" ht="13.5" thickBot="1">
      <c r="A6" s="141" t="s">
        <v>3</v>
      </c>
      <c r="B6" s="142"/>
      <c r="C6" s="143"/>
      <c r="D6" s="144"/>
      <c r="E6" s="145"/>
      <c r="F6" s="144"/>
      <c r="G6" s="145"/>
      <c r="H6" s="3"/>
      <c r="I6" s="3"/>
    </row>
    <row r="7" spans="1:9" ht="13.5" thickBot="1">
      <c r="A7" s="146" t="s">
        <v>4</v>
      </c>
      <c r="B7" s="147"/>
      <c r="C7" s="148"/>
      <c r="D7" s="149">
        <f>D8+D9</f>
        <v>1140282.91</v>
      </c>
      <c r="E7" s="150"/>
      <c r="F7" s="149">
        <f>F8+F9</f>
        <v>729070.98</v>
      </c>
      <c r="G7" s="150"/>
      <c r="H7" s="14">
        <f>H8+H9</f>
        <v>593025.66</v>
      </c>
      <c r="I7" s="2"/>
    </row>
    <row r="8" spans="1:9" ht="25.5" customHeight="1" thickBot="1">
      <c r="A8" s="146" t="s">
        <v>5</v>
      </c>
      <c r="B8" s="147"/>
      <c r="C8" s="148"/>
      <c r="D8" s="149">
        <v>1140282.91</v>
      </c>
      <c r="E8" s="150"/>
      <c r="F8" s="149">
        <v>712267.7</v>
      </c>
      <c r="G8" s="150"/>
      <c r="H8" s="14">
        <v>593025.66</v>
      </c>
      <c r="I8" s="2"/>
    </row>
    <row r="9" spans="1:9" ht="13.5" thickBot="1">
      <c r="A9" s="151" t="s">
        <v>6</v>
      </c>
      <c r="B9" s="152"/>
      <c r="C9" s="153"/>
      <c r="D9" s="149">
        <v>0</v>
      </c>
      <c r="E9" s="150"/>
      <c r="F9" s="149">
        <v>16803.28</v>
      </c>
      <c r="G9" s="150"/>
      <c r="H9" s="14">
        <v>0</v>
      </c>
      <c r="I9" s="2"/>
    </row>
    <row r="10" spans="1:9" ht="25.5" customHeight="1" thickBot="1">
      <c r="A10" s="146" t="s">
        <v>35</v>
      </c>
      <c r="B10" s="147"/>
      <c r="C10" s="148"/>
      <c r="D10" s="149">
        <f>D11-D19</f>
        <v>1208738.5</v>
      </c>
      <c r="E10" s="150"/>
      <c r="F10" s="149">
        <f>F11-F19</f>
        <v>493369.57</v>
      </c>
      <c r="G10" s="150"/>
      <c r="H10" s="14">
        <f>H11-H19</f>
        <v>198270.92</v>
      </c>
      <c r="I10" s="2"/>
    </row>
    <row r="11" spans="1:9" ht="13.5" thickBot="1">
      <c r="A11" s="146" t="s">
        <v>7</v>
      </c>
      <c r="B11" s="147"/>
      <c r="C11" s="148"/>
      <c r="D11" s="149">
        <f>SUM(D12:E15)</f>
        <v>458738.5</v>
      </c>
      <c r="E11" s="150"/>
      <c r="F11" s="149">
        <f>SUM(F12:G15)</f>
        <v>495609.81</v>
      </c>
      <c r="G11" s="150"/>
      <c r="H11" s="14">
        <f>SUM(H12:H15)</f>
        <v>415263.69</v>
      </c>
      <c r="I11" s="2"/>
    </row>
    <row r="12" spans="1:9" ht="25.5" customHeight="1" thickBot="1">
      <c r="A12" s="151" t="s">
        <v>8</v>
      </c>
      <c r="B12" s="152"/>
      <c r="C12" s="153"/>
      <c r="D12" s="149">
        <v>0</v>
      </c>
      <c r="E12" s="150"/>
      <c r="F12" s="149">
        <v>306798.2</v>
      </c>
      <c r="G12" s="150"/>
      <c r="H12" s="14">
        <v>227205.41</v>
      </c>
      <c r="I12" s="2"/>
    </row>
    <row r="13" spans="1:9" ht="13.5" thickBot="1">
      <c r="A13" s="151" t="s">
        <v>9</v>
      </c>
      <c r="B13" s="152"/>
      <c r="C13" s="153"/>
      <c r="D13" s="149">
        <v>0</v>
      </c>
      <c r="E13" s="150"/>
      <c r="F13" s="149">
        <v>0</v>
      </c>
      <c r="G13" s="150"/>
      <c r="H13" s="14">
        <v>0</v>
      </c>
      <c r="I13" s="2"/>
    </row>
    <row r="14" spans="1:9" ht="13.5" thickBot="1">
      <c r="A14" s="151" t="s">
        <v>10</v>
      </c>
      <c r="B14" s="152"/>
      <c r="C14" s="153"/>
      <c r="D14" s="149">
        <v>29041.14</v>
      </c>
      <c r="E14" s="150"/>
      <c r="F14" s="149">
        <v>44841.92</v>
      </c>
      <c r="G14" s="150"/>
      <c r="H14" s="14">
        <v>56641.89</v>
      </c>
      <c r="I14" s="2"/>
    </row>
    <row r="15" spans="1:9" ht="13.5" thickBot="1">
      <c r="A15" s="151" t="s">
        <v>11</v>
      </c>
      <c r="B15" s="152"/>
      <c r="C15" s="153"/>
      <c r="D15" s="149">
        <v>429697.36</v>
      </c>
      <c r="E15" s="150"/>
      <c r="F15" s="149">
        <v>143969.69</v>
      </c>
      <c r="G15" s="150"/>
      <c r="H15" s="14">
        <v>131416.39</v>
      </c>
      <c r="I15" s="2"/>
    </row>
    <row r="16" spans="1:9" ht="13.5" thickBot="1">
      <c r="A16" s="151" t="s">
        <v>12</v>
      </c>
      <c r="B16" s="152"/>
      <c r="C16" s="153"/>
      <c r="D16" s="149">
        <v>23425.22</v>
      </c>
      <c r="E16" s="150"/>
      <c r="F16" s="149">
        <v>523.92</v>
      </c>
      <c r="G16" s="150"/>
      <c r="H16" s="14">
        <v>771.12</v>
      </c>
      <c r="I16" s="2"/>
    </row>
    <row r="17" spans="1:13" ht="13.5" thickBot="1">
      <c r="A17" s="151" t="s">
        <v>13</v>
      </c>
      <c r="B17" s="152"/>
      <c r="C17" s="153"/>
      <c r="D17" s="149">
        <v>23655.22</v>
      </c>
      <c r="E17" s="150"/>
      <c r="F17" s="149">
        <v>0</v>
      </c>
      <c r="G17" s="150"/>
      <c r="H17" s="14">
        <v>0</v>
      </c>
      <c r="I17" s="2"/>
      <c r="K17" s="11"/>
      <c r="L17" s="11"/>
      <c r="M17" s="11"/>
    </row>
    <row r="18" spans="1:13" ht="27.75" customHeight="1" thickBot="1">
      <c r="A18" s="161" t="s">
        <v>39</v>
      </c>
      <c r="B18" s="162"/>
      <c r="C18" s="163"/>
      <c r="D18" s="185">
        <f>D7-D11</f>
        <v>681544.4099999999</v>
      </c>
      <c r="E18" s="186"/>
      <c r="F18" s="12"/>
      <c r="G18" s="13"/>
      <c r="H18" s="14"/>
      <c r="I18" s="2"/>
      <c r="K18" s="11"/>
      <c r="L18" s="11"/>
      <c r="M18" s="11"/>
    </row>
    <row r="19" spans="1:9" ht="13.5" thickBot="1">
      <c r="A19" s="146" t="s">
        <v>36</v>
      </c>
      <c r="B19" s="147"/>
      <c r="C19" s="148"/>
      <c r="D19" s="149">
        <f>D21-D20</f>
        <v>-750000</v>
      </c>
      <c r="E19" s="150"/>
      <c r="F19" s="149">
        <f>F21-F20</f>
        <v>2240.2400000000002</v>
      </c>
      <c r="G19" s="150"/>
      <c r="H19" s="14">
        <f>H21-H20</f>
        <v>216992.77</v>
      </c>
      <c r="I19" s="2"/>
    </row>
    <row r="20" spans="1:9" ht="13.5" thickBot="1">
      <c r="A20" s="151" t="s">
        <v>14</v>
      </c>
      <c r="B20" s="152"/>
      <c r="C20" s="153"/>
      <c r="D20" s="149">
        <v>850000</v>
      </c>
      <c r="E20" s="150"/>
      <c r="F20" s="149">
        <v>2069.02</v>
      </c>
      <c r="G20" s="150"/>
      <c r="H20" s="14">
        <v>4309.26</v>
      </c>
      <c r="I20" s="2"/>
    </row>
    <row r="21" spans="1:9" ht="13.5" thickBot="1">
      <c r="A21" s="151" t="s">
        <v>15</v>
      </c>
      <c r="B21" s="152"/>
      <c r="C21" s="153"/>
      <c r="D21" s="149">
        <v>100000</v>
      </c>
      <c r="E21" s="150"/>
      <c r="F21" s="149">
        <v>4309.26</v>
      </c>
      <c r="G21" s="150"/>
      <c r="H21" s="14">
        <v>221302.03</v>
      </c>
      <c r="I21" s="2"/>
    </row>
    <row r="22" spans="1:9" ht="13.5" thickBot="1">
      <c r="A22" s="146" t="s">
        <v>16</v>
      </c>
      <c r="B22" s="147"/>
      <c r="C22" s="148"/>
      <c r="D22" s="149">
        <f>D7-D10</f>
        <v>-68455.59000000008</v>
      </c>
      <c r="E22" s="150"/>
      <c r="F22" s="149">
        <f>F7-F10</f>
        <v>235701.40999999997</v>
      </c>
      <c r="G22" s="150"/>
      <c r="H22" s="14">
        <f>H7-H10</f>
        <v>394754.74</v>
      </c>
      <c r="I22" s="2"/>
    </row>
    <row r="23" spans="1:9" ht="13.5" thickBot="1">
      <c r="A23" s="154" t="s">
        <v>17</v>
      </c>
      <c r="B23" s="155"/>
      <c r="C23" s="156"/>
      <c r="D23" s="149">
        <f>(5718.91+5797.27)</f>
        <v>11516.18</v>
      </c>
      <c r="E23" s="150"/>
      <c r="F23" s="149">
        <f>5786.99+5590.17</f>
        <v>11377.16</v>
      </c>
      <c r="G23" s="150"/>
      <c r="H23" s="14">
        <v>11377.16</v>
      </c>
      <c r="I23" s="2"/>
    </row>
    <row r="24" spans="1:9" ht="13.5" thickBot="1">
      <c r="A24" s="146" t="s">
        <v>37</v>
      </c>
      <c r="B24" s="147"/>
      <c r="C24" s="148"/>
      <c r="D24" s="149">
        <f>D22-D23</f>
        <v>-79971.77000000008</v>
      </c>
      <c r="E24" s="150"/>
      <c r="F24" s="149">
        <f>F22-F23</f>
        <v>224324.24999999997</v>
      </c>
      <c r="G24" s="150"/>
      <c r="H24" s="14">
        <f>H22-H23</f>
        <v>383377.58</v>
      </c>
      <c r="I24" s="2"/>
    </row>
    <row r="25" spans="1:9" ht="15.75" thickBot="1">
      <c r="A25" s="157"/>
      <c r="B25" s="157"/>
      <c r="C25" s="157"/>
      <c r="D25" s="157"/>
      <c r="E25" s="157"/>
      <c r="F25" s="157"/>
      <c r="G25" s="157"/>
      <c r="H25" s="157"/>
      <c r="I25" s="157"/>
    </row>
    <row r="26" spans="1:9" ht="13.5" thickBot="1">
      <c r="A26" s="158" t="s">
        <v>2</v>
      </c>
      <c r="B26" s="159"/>
      <c r="C26" s="160"/>
      <c r="D26" s="139">
        <v>2008</v>
      </c>
      <c r="E26" s="140"/>
      <c r="F26" s="139">
        <v>2009</v>
      </c>
      <c r="G26" s="140"/>
      <c r="H26" s="4">
        <v>2010</v>
      </c>
      <c r="I26" s="4"/>
    </row>
    <row r="27" spans="1:9" ht="13.5" thickBot="1">
      <c r="A27" s="161" t="s">
        <v>18</v>
      </c>
      <c r="B27" s="162"/>
      <c r="C27" s="163"/>
      <c r="D27" s="149"/>
      <c r="E27" s="150"/>
      <c r="F27" s="149"/>
      <c r="G27" s="150"/>
      <c r="H27" s="14"/>
      <c r="I27" s="2"/>
    </row>
    <row r="28" spans="1:9" ht="13.5" thickBot="1">
      <c r="A28" s="146" t="s">
        <v>19</v>
      </c>
      <c r="B28" s="147"/>
      <c r="C28" s="148"/>
      <c r="D28" s="149">
        <f>D29+D30</f>
        <v>150000</v>
      </c>
      <c r="E28" s="150"/>
      <c r="F28" s="149">
        <f>F29+F30</f>
        <v>120000</v>
      </c>
      <c r="G28" s="150"/>
      <c r="H28" s="14">
        <f>H29+H30</f>
        <v>280000</v>
      </c>
      <c r="I28" s="2"/>
    </row>
    <row r="29" spans="1:9" ht="13.5" thickBot="1">
      <c r="A29" s="151" t="s">
        <v>20</v>
      </c>
      <c r="B29" s="152"/>
      <c r="C29" s="153"/>
      <c r="D29" s="149">
        <v>150000</v>
      </c>
      <c r="E29" s="150"/>
      <c r="F29" s="149">
        <v>120000</v>
      </c>
      <c r="G29" s="150"/>
      <c r="H29" s="14">
        <v>280000</v>
      </c>
      <c r="I29" s="2"/>
    </row>
    <row r="30" spans="1:9" ht="13.5" thickBot="1">
      <c r="A30" s="151" t="s">
        <v>21</v>
      </c>
      <c r="B30" s="152"/>
      <c r="C30" s="153"/>
      <c r="D30" s="149">
        <v>0</v>
      </c>
      <c r="E30" s="150"/>
      <c r="F30" s="149">
        <v>0</v>
      </c>
      <c r="G30" s="150"/>
      <c r="H30" s="14"/>
      <c r="I30" s="2"/>
    </row>
    <row r="31" spans="1:9" ht="13.5" thickBot="1">
      <c r="A31" s="146" t="s">
        <v>22</v>
      </c>
      <c r="B31" s="147"/>
      <c r="C31" s="148"/>
      <c r="D31" s="149">
        <f>D32+D33+D34</f>
        <v>520000</v>
      </c>
      <c r="E31" s="150"/>
      <c r="F31" s="149">
        <f>F32+F33+F34</f>
        <v>237184.7150482564</v>
      </c>
      <c r="G31" s="150"/>
      <c r="H31" s="14">
        <f>H32+H34+H33</f>
        <v>492302.03</v>
      </c>
      <c r="I31" s="2"/>
    </row>
    <row r="32" spans="1:9" ht="13.5" thickBot="1">
      <c r="A32" s="146" t="s">
        <v>23</v>
      </c>
      <c r="B32" s="147"/>
      <c r="C32" s="148"/>
      <c r="D32" s="149">
        <v>220000</v>
      </c>
      <c r="E32" s="150"/>
      <c r="F32" s="149">
        <v>105000</v>
      </c>
      <c r="G32" s="150"/>
      <c r="H32" s="14">
        <v>11000</v>
      </c>
      <c r="I32" s="2"/>
    </row>
    <row r="33" spans="1:9" ht="13.5" thickBot="1">
      <c r="A33" s="146" t="s">
        <v>24</v>
      </c>
      <c r="B33" s="147"/>
      <c r="C33" s="148"/>
      <c r="D33" s="149">
        <f>D21</f>
        <v>100000</v>
      </c>
      <c r="E33" s="150"/>
      <c r="F33" s="149">
        <f>F21</f>
        <v>4309.26</v>
      </c>
      <c r="G33" s="150"/>
      <c r="H33" s="14">
        <f>H21</f>
        <v>221302.03</v>
      </c>
      <c r="I33" s="2"/>
    </row>
    <row r="34" spans="1:9" ht="13.5" thickBot="1">
      <c r="A34" s="146" t="s">
        <v>25</v>
      </c>
      <c r="B34" s="147"/>
      <c r="C34" s="148"/>
      <c r="D34" s="149">
        <v>200000</v>
      </c>
      <c r="E34" s="150"/>
      <c r="F34" s="149">
        <f>D34*F7/D7</f>
        <v>127875.45504825641</v>
      </c>
      <c r="G34" s="150"/>
      <c r="H34" s="14">
        <v>260000</v>
      </c>
      <c r="I34" s="2"/>
    </row>
    <row r="35" spans="1:9" ht="13.5" thickBot="1">
      <c r="A35" s="146" t="s">
        <v>26</v>
      </c>
      <c r="B35" s="147"/>
      <c r="C35" s="148"/>
      <c r="D35" s="149">
        <f>D28+D31</f>
        <v>670000</v>
      </c>
      <c r="E35" s="150"/>
      <c r="F35" s="149">
        <f>F28+F31</f>
        <v>357184.7150482564</v>
      </c>
      <c r="G35" s="150"/>
      <c r="H35" s="14">
        <f>H31+H28</f>
        <v>772302.03</v>
      </c>
      <c r="I35" s="2"/>
    </row>
    <row r="36" spans="1:9" ht="13.5" thickBot="1">
      <c r="A36" s="161" t="s">
        <v>27</v>
      </c>
      <c r="B36" s="162"/>
      <c r="C36" s="163"/>
      <c r="D36" s="149"/>
      <c r="E36" s="150"/>
      <c r="F36" s="149"/>
      <c r="G36" s="150"/>
      <c r="H36" s="14"/>
      <c r="I36" s="2"/>
    </row>
    <row r="37" spans="1:9" ht="25.5" customHeight="1" thickBot="1">
      <c r="A37" s="146" t="s">
        <v>28</v>
      </c>
      <c r="B37" s="147"/>
      <c r="C37" s="148"/>
      <c r="D37" s="149">
        <v>0</v>
      </c>
      <c r="E37" s="150"/>
      <c r="F37" s="149">
        <v>0</v>
      </c>
      <c r="G37" s="150"/>
      <c r="H37" s="14">
        <v>0</v>
      </c>
      <c r="I37" s="2"/>
    </row>
    <row r="38" spans="1:9" ht="25.5" customHeight="1" thickBot="1">
      <c r="A38" s="146" t="s">
        <v>29</v>
      </c>
      <c r="B38" s="147"/>
      <c r="C38" s="148"/>
      <c r="D38" s="149">
        <v>54000</v>
      </c>
      <c r="E38" s="150"/>
      <c r="F38" s="149">
        <v>47000</v>
      </c>
      <c r="G38" s="150"/>
      <c r="H38" s="14">
        <v>35000</v>
      </c>
      <c r="I38" s="2"/>
    </row>
    <row r="39" spans="1:9" ht="25.5" customHeight="1" thickBot="1">
      <c r="A39" s="146" t="s">
        <v>30</v>
      </c>
      <c r="B39" s="147"/>
      <c r="C39" s="148"/>
      <c r="D39" s="149">
        <v>165000</v>
      </c>
      <c r="E39" s="150"/>
      <c r="F39" s="149">
        <v>89000</v>
      </c>
      <c r="G39" s="150"/>
      <c r="H39" s="14">
        <v>136000</v>
      </c>
      <c r="I39" s="2"/>
    </row>
    <row r="40" spans="1:9" ht="25.5" customHeight="1" thickBot="1">
      <c r="A40" s="146" t="s">
        <v>31</v>
      </c>
      <c r="B40" s="147"/>
      <c r="C40" s="148"/>
      <c r="D40" s="149">
        <v>0</v>
      </c>
      <c r="E40" s="150"/>
      <c r="F40" s="149">
        <v>0</v>
      </c>
      <c r="G40" s="150"/>
      <c r="H40" s="14">
        <v>350000</v>
      </c>
      <c r="I40" s="2"/>
    </row>
    <row r="41" spans="1:9" ht="25.5" customHeight="1" thickBot="1">
      <c r="A41" s="146" t="s">
        <v>32</v>
      </c>
      <c r="B41" s="147"/>
      <c r="C41" s="148"/>
      <c r="D41" s="149">
        <f>D37+D38+D39+D40</f>
        <v>219000</v>
      </c>
      <c r="E41" s="150"/>
      <c r="F41" s="149">
        <f>F37+F38+F39+F40</f>
        <v>136000</v>
      </c>
      <c r="G41" s="150"/>
      <c r="H41" s="15">
        <f>H40+H39+H38+H37</f>
        <v>521000</v>
      </c>
      <c r="I41" s="5"/>
    </row>
    <row r="42" spans="1:9" ht="38.25" customHeight="1">
      <c r="A42" s="164"/>
      <c r="B42" s="164"/>
      <c r="C42" s="164"/>
      <c r="D42" s="164"/>
      <c r="E42" s="164"/>
      <c r="F42" s="164"/>
      <c r="G42" s="164"/>
      <c r="H42" s="164"/>
      <c r="I42" s="164"/>
    </row>
    <row r="43" spans="1:9" ht="12.75">
      <c r="A43" s="169"/>
      <c r="B43" s="169"/>
      <c r="C43" s="169"/>
      <c r="D43" s="169"/>
      <c r="E43" s="169"/>
      <c r="F43" s="169"/>
      <c r="G43" s="169"/>
      <c r="H43" s="169"/>
      <c r="I43" s="169"/>
    </row>
    <row r="44" spans="1:9" ht="12.75">
      <c r="A44" s="170"/>
      <c r="B44" s="170"/>
      <c r="C44" s="170"/>
      <c r="D44" s="170"/>
      <c r="E44" s="170"/>
      <c r="F44" s="170"/>
      <c r="G44" s="170"/>
      <c r="H44" s="170"/>
      <c r="I44" s="170"/>
    </row>
    <row r="45" spans="1:9" ht="12.75" customHeight="1">
      <c r="A45" s="171"/>
      <c r="B45" s="171"/>
      <c r="C45" s="171"/>
      <c r="D45" s="171"/>
      <c r="E45" s="171"/>
      <c r="F45" s="171"/>
      <c r="G45" s="171"/>
      <c r="H45" s="171"/>
      <c r="I45" s="171"/>
    </row>
    <row r="46" spans="1:9" ht="13.5" thickBot="1">
      <c r="A46" s="172"/>
      <c r="B46" s="172"/>
      <c r="C46" s="172"/>
      <c r="D46" s="172"/>
      <c r="E46" s="172"/>
      <c r="F46" s="172"/>
      <c r="G46" s="172"/>
      <c r="H46" s="172"/>
      <c r="I46" s="172"/>
    </row>
    <row r="47" spans="1:9" ht="13.5" thickBot="1">
      <c r="A47" s="165"/>
      <c r="B47" s="166"/>
      <c r="C47" s="166"/>
      <c r="D47" s="166"/>
      <c r="E47" s="166"/>
      <c r="F47" s="166"/>
      <c r="G47" s="166"/>
      <c r="H47" s="166"/>
      <c r="I47" s="167"/>
    </row>
    <row r="48" spans="1:9" ht="13.5" thickBot="1">
      <c r="A48" s="166"/>
      <c r="B48" s="166"/>
      <c r="C48" s="166"/>
      <c r="D48" s="166"/>
      <c r="E48" s="166"/>
      <c r="F48" s="166"/>
      <c r="G48" s="166"/>
      <c r="H48" s="166"/>
      <c r="I48" s="166"/>
    </row>
    <row r="49" spans="1:9" ht="13.5" thickBot="1">
      <c r="A49" s="165"/>
      <c r="B49" s="166"/>
      <c r="C49" s="166"/>
      <c r="D49" s="166"/>
      <c r="E49" s="166"/>
      <c r="F49" s="166"/>
      <c r="G49" s="166"/>
      <c r="H49" s="166"/>
      <c r="I49" s="167"/>
    </row>
    <row r="50" spans="1:9" ht="13.5" thickBot="1">
      <c r="A50" s="168"/>
      <c r="B50" s="168"/>
      <c r="C50" s="168"/>
      <c r="D50" s="168"/>
      <c r="E50" s="168"/>
      <c r="F50" s="168"/>
      <c r="G50" s="168"/>
      <c r="H50" s="168"/>
      <c r="I50" s="168"/>
    </row>
    <row r="51" spans="1:9" ht="13.5" thickBot="1">
      <c r="A51" s="169"/>
      <c r="B51" s="169"/>
      <c r="C51" s="169"/>
      <c r="D51" s="169"/>
      <c r="E51" s="169"/>
      <c r="F51" s="176"/>
      <c r="G51" s="177"/>
      <c r="H51" s="168"/>
      <c r="I51" s="178"/>
    </row>
    <row r="52" spans="1:9" ht="13.5" thickBot="1">
      <c r="A52" s="8"/>
      <c r="B52" s="9"/>
      <c r="C52" s="179"/>
      <c r="D52" s="180"/>
      <c r="E52" s="180"/>
      <c r="F52" s="181"/>
      <c r="G52" s="182"/>
      <c r="H52" s="183"/>
      <c r="I52" s="184"/>
    </row>
    <row r="53" spans="1:9" ht="12.75">
      <c r="A53" s="7"/>
      <c r="B53" s="6"/>
      <c r="C53" s="169"/>
      <c r="D53" s="169"/>
      <c r="E53" s="169"/>
      <c r="F53" s="169"/>
      <c r="G53" s="173"/>
      <c r="H53" s="173"/>
      <c r="I53" s="173"/>
    </row>
    <row r="56" ht="12.75">
      <c r="A56" s="10" t="s">
        <v>33</v>
      </c>
    </row>
  </sheetData>
  <sheetProtection/>
  <mergeCells count="130">
    <mergeCell ref="A1:D1"/>
    <mergeCell ref="E1:I1"/>
    <mergeCell ref="A2:D2"/>
    <mergeCell ref="E2:I2"/>
    <mergeCell ref="A3:D3"/>
    <mergeCell ref="E3:I3"/>
    <mergeCell ref="A4:I4"/>
    <mergeCell ref="A5:C5"/>
    <mergeCell ref="D5:E5"/>
    <mergeCell ref="F5:G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0:C10"/>
    <mergeCell ref="D10:E10"/>
    <mergeCell ref="F10:G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C14"/>
    <mergeCell ref="D14:E14"/>
    <mergeCell ref="F14:G14"/>
    <mergeCell ref="A15:C15"/>
    <mergeCell ref="D15:E15"/>
    <mergeCell ref="F15:G15"/>
    <mergeCell ref="A16:C16"/>
    <mergeCell ref="D16:E16"/>
    <mergeCell ref="F16:G16"/>
    <mergeCell ref="A17:C17"/>
    <mergeCell ref="D17:E17"/>
    <mergeCell ref="F17:G17"/>
    <mergeCell ref="A19:C19"/>
    <mergeCell ref="D19:E19"/>
    <mergeCell ref="F19:G19"/>
    <mergeCell ref="A18:C18"/>
    <mergeCell ref="D18:E18"/>
    <mergeCell ref="A20:C20"/>
    <mergeCell ref="D20:E20"/>
    <mergeCell ref="F20:G20"/>
    <mergeCell ref="A21:C21"/>
    <mergeCell ref="D21:E21"/>
    <mergeCell ref="F21:G21"/>
    <mergeCell ref="A22:C22"/>
    <mergeCell ref="D22:E22"/>
    <mergeCell ref="F22:G22"/>
    <mergeCell ref="A23:C23"/>
    <mergeCell ref="D23:E23"/>
    <mergeCell ref="F23:G23"/>
    <mergeCell ref="A24:C24"/>
    <mergeCell ref="D24:E24"/>
    <mergeCell ref="F24:G24"/>
    <mergeCell ref="A25:I25"/>
    <mergeCell ref="A26:C26"/>
    <mergeCell ref="D26:E26"/>
    <mergeCell ref="F26:G26"/>
    <mergeCell ref="A27:C27"/>
    <mergeCell ref="D27:E27"/>
    <mergeCell ref="F27:G27"/>
    <mergeCell ref="A28:C28"/>
    <mergeCell ref="D28:E28"/>
    <mergeCell ref="F28:G28"/>
    <mergeCell ref="A29:C29"/>
    <mergeCell ref="D29:E29"/>
    <mergeCell ref="F29:G29"/>
    <mergeCell ref="A30:C30"/>
    <mergeCell ref="D30:E30"/>
    <mergeCell ref="F30:G30"/>
    <mergeCell ref="A31:C31"/>
    <mergeCell ref="D31:E31"/>
    <mergeCell ref="F31:G31"/>
    <mergeCell ref="A32:C32"/>
    <mergeCell ref="D32:E32"/>
    <mergeCell ref="F32:G32"/>
    <mergeCell ref="A33:C33"/>
    <mergeCell ref="D33:E33"/>
    <mergeCell ref="F33:G33"/>
    <mergeCell ref="A34:C34"/>
    <mergeCell ref="D34:E34"/>
    <mergeCell ref="F34:G34"/>
    <mergeCell ref="A35:C35"/>
    <mergeCell ref="D35:E35"/>
    <mergeCell ref="F35:G35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  <mergeCell ref="A40:C40"/>
    <mergeCell ref="D40:E40"/>
    <mergeCell ref="F40:G40"/>
    <mergeCell ref="A41:C41"/>
    <mergeCell ref="D41:E41"/>
    <mergeCell ref="F41:G41"/>
    <mergeCell ref="A42:I42"/>
    <mergeCell ref="A43:I43"/>
    <mergeCell ref="A44:I44"/>
    <mergeCell ref="A45:I45"/>
    <mergeCell ref="A46:I46"/>
    <mergeCell ref="A47:I47"/>
    <mergeCell ref="A48:I48"/>
    <mergeCell ref="A49:I49"/>
    <mergeCell ref="A50:I50"/>
    <mergeCell ref="A51:F51"/>
    <mergeCell ref="G51:I51"/>
    <mergeCell ref="C52:F52"/>
    <mergeCell ref="G52:I52"/>
    <mergeCell ref="C53:F53"/>
    <mergeCell ref="G53:I53"/>
  </mergeCells>
  <hyperlinks>
    <hyperlink ref="A23" location="_ftn1" display="_ftn1"/>
    <hyperlink ref="A56" location="_ftnref1" display="_ftnref1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Buchalter Skłodowscy Sp. J.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wieckowskak</dc:creator>
  <cp:keywords/>
  <dc:description/>
  <cp:lastModifiedBy>Karolina Skłodowska-Jaros</cp:lastModifiedBy>
  <cp:lastPrinted>2010-01-21T11:55:28Z</cp:lastPrinted>
  <dcterms:created xsi:type="dcterms:W3CDTF">2010-01-21T11:02:26Z</dcterms:created>
  <dcterms:modified xsi:type="dcterms:W3CDTF">2022-04-04T09:24:12Z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